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030" tabRatio="908"/>
  </bookViews>
  <sheets>
    <sheet name="ampop 1-4" sheetId="3" r:id="rId1"/>
    <sheet name="5. դատ.դեպ-փոստային" sheetId="29" r:id="rId2"/>
    <sheet name="Փոստ փաստ 2017-2019" sheetId="39" state="hidden" r:id="rId3"/>
    <sheet name="2.Internet" sheetId="33" r:id="rId4"/>
    <sheet name="BDX&amp;kargadrich" sheetId="5" r:id="rId5"/>
    <sheet name="Vchr" sheetId="6" r:id="rId6"/>
    <sheet name="Ver.Qax" sheetId="7" r:id="rId7"/>
    <sheet name="Ver.qr." sheetId="8" r:id="rId8"/>
    <sheet name="Ver.varch" sheetId="27" r:id="rId9"/>
    <sheet name="Varch." sheetId="25" r:id="rId10"/>
    <sheet name="Arag" sheetId="16" r:id="rId11"/>
    <sheet name="Ararat" sheetId="17" r:id="rId12"/>
    <sheet name="Armav." sheetId="18" r:id="rId13"/>
    <sheet name="Gex." sheetId="19" r:id="rId14"/>
    <sheet name="Lori" sheetId="20" r:id="rId15"/>
    <sheet name="Kot" sheetId="21" r:id="rId16"/>
    <sheet name="Shir." sheetId="22" r:id="rId17"/>
    <sheet name="Syun." sheetId="23" r:id="rId18"/>
    <sheet name="Tav." sheetId="24" r:id="rId19"/>
    <sheet name="Snank" sheetId="38" r:id="rId20"/>
    <sheet name="Ver.hakakorupcion" sheetId="43" r:id="rId21"/>
    <sheet name="Yerevan qax" sheetId="37" r:id="rId22"/>
    <sheet name="Yerevan qr" sheetId="42" r:id="rId23"/>
    <sheet name="Hastiqi ampop" sheetId="41" r:id="rId24"/>
    <sheet name="hamematakan 2018-2019" sheetId="36" state="hidden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__prt1111" localSheetId="3">#REF!</definedName>
    <definedName name="__prt1111" localSheetId="24">#REF!</definedName>
    <definedName name="__prt1111" localSheetId="8">#REF!</definedName>
    <definedName name="__prt1111">#REF!</definedName>
    <definedName name="__prt1114" localSheetId="3">#REF!</definedName>
    <definedName name="__prt1114" localSheetId="24">#REF!</definedName>
    <definedName name="__prt1114" localSheetId="8">#REF!</definedName>
    <definedName name="__prt1114">#REF!</definedName>
    <definedName name="__prt11141" localSheetId="3">#REF!</definedName>
    <definedName name="__prt11141" localSheetId="24">#REF!</definedName>
    <definedName name="__prt11141" localSheetId="8">#REF!</definedName>
    <definedName name="__prt11141">#REF!</definedName>
    <definedName name="__prt11142" localSheetId="3">#REF!</definedName>
    <definedName name="__prt11142" localSheetId="24">#REF!</definedName>
    <definedName name="__prt11142" localSheetId="8">#REF!</definedName>
    <definedName name="__prt11142">#REF!</definedName>
    <definedName name="__prt1115" localSheetId="3">#REF!</definedName>
    <definedName name="__prt1115" localSheetId="24">#REF!</definedName>
    <definedName name="__prt1115" localSheetId="8">#REF!</definedName>
    <definedName name="__prt1115">#REF!</definedName>
    <definedName name="__prt1116" localSheetId="3">#REF!</definedName>
    <definedName name="__prt1116" localSheetId="24">#REF!</definedName>
    <definedName name="__prt1116" localSheetId="8">#REF!</definedName>
    <definedName name="__prt1116">#REF!</definedName>
    <definedName name="__prt1214" localSheetId="3">#REF!</definedName>
    <definedName name="__prt1214" localSheetId="24">#REF!</definedName>
    <definedName name="__prt1214" localSheetId="8">#REF!</definedName>
    <definedName name="__prt1214">#REF!</definedName>
    <definedName name="__prt12141" localSheetId="3">#REF!</definedName>
    <definedName name="__prt12141" localSheetId="24">#REF!</definedName>
    <definedName name="__prt12141" localSheetId="8">#REF!</definedName>
    <definedName name="__prt12141">#REF!</definedName>
    <definedName name="__prt1311" localSheetId="3">#REF!</definedName>
    <definedName name="__prt1311" localSheetId="24">#REF!</definedName>
    <definedName name="__prt1311" localSheetId="8">#REF!</definedName>
    <definedName name="__prt1311">#REF!</definedName>
    <definedName name="__prt1313" localSheetId="3">#REF!</definedName>
    <definedName name="__prt1313" localSheetId="24">#REF!</definedName>
    <definedName name="__prt1313" localSheetId="8">#REF!</definedName>
    <definedName name="__prt1313">#REF!</definedName>
    <definedName name="__prt1314" localSheetId="3">#REF!</definedName>
    <definedName name="__prt1314" localSheetId="24">#REF!</definedName>
    <definedName name="__prt1314" localSheetId="8">#REF!</definedName>
    <definedName name="__prt1314">#REF!</definedName>
    <definedName name="__prt1315" localSheetId="3">#REF!</definedName>
    <definedName name="__prt1315" localSheetId="24">#REF!</definedName>
    <definedName name="__prt1315" localSheetId="8">#REF!</definedName>
    <definedName name="__prt1315">#REF!</definedName>
    <definedName name="__prt1317" localSheetId="3">#REF!</definedName>
    <definedName name="__prt1317" localSheetId="24">#REF!</definedName>
    <definedName name="__prt1317" localSheetId="8">#REF!</definedName>
    <definedName name="__prt1317">#REF!</definedName>
    <definedName name="_1" localSheetId="3">#REF!</definedName>
    <definedName name="_1" localSheetId="10">#REF!</definedName>
    <definedName name="_1" localSheetId="11">#REF!</definedName>
    <definedName name="_1" localSheetId="12">#REF!</definedName>
    <definedName name="_1" localSheetId="4">#REF!</definedName>
    <definedName name="_1" localSheetId="13">#REF!</definedName>
    <definedName name="_1" localSheetId="24">#REF!</definedName>
    <definedName name="_1" localSheetId="15">#REF!</definedName>
    <definedName name="_1" localSheetId="14">#REF!</definedName>
    <definedName name="_1" localSheetId="16">#REF!</definedName>
    <definedName name="_1" localSheetId="17">#REF!</definedName>
    <definedName name="_1" localSheetId="18">#REF!</definedName>
    <definedName name="_1" localSheetId="9">#REF!</definedName>
    <definedName name="_1" localSheetId="5">#REF!</definedName>
    <definedName name="_1" localSheetId="6">#REF!</definedName>
    <definedName name="_1" localSheetId="7">#REF!</definedName>
    <definedName name="_1" localSheetId="8">#REF!</definedName>
    <definedName name="_1">#REF!</definedName>
    <definedName name="_prt1111" localSheetId="3">#REF!</definedName>
    <definedName name="_prt1111" localSheetId="10">#REF!</definedName>
    <definedName name="_prt1111" localSheetId="11">#REF!</definedName>
    <definedName name="_prt1111" localSheetId="12">#REF!</definedName>
    <definedName name="_prt1111" localSheetId="4">#REF!</definedName>
    <definedName name="_prt1111" localSheetId="13">#REF!</definedName>
    <definedName name="_prt1111" localSheetId="24">#REF!</definedName>
    <definedName name="_prt1111" localSheetId="15">#REF!</definedName>
    <definedName name="_prt1111" localSheetId="14">#REF!</definedName>
    <definedName name="_prt1111" localSheetId="16">#REF!</definedName>
    <definedName name="_prt1111" localSheetId="17">#REF!</definedName>
    <definedName name="_prt1111" localSheetId="18">#REF!</definedName>
    <definedName name="_prt1111" localSheetId="9">#REF!</definedName>
    <definedName name="_prt1111" localSheetId="5">#REF!</definedName>
    <definedName name="_prt1111" localSheetId="6">#REF!</definedName>
    <definedName name="_prt1111" localSheetId="7">#REF!</definedName>
    <definedName name="_prt1111" localSheetId="8">#REF!</definedName>
    <definedName name="_prt1111">#REF!</definedName>
    <definedName name="_prt1114" localSheetId="3">#REF!</definedName>
    <definedName name="_prt1114" localSheetId="10">#REF!</definedName>
    <definedName name="_prt1114" localSheetId="11">#REF!</definedName>
    <definedName name="_prt1114" localSheetId="12">#REF!</definedName>
    <definedName name="_prt1114" localSheetId="4">#REF!</definedName>
    <definedName name="_prt1114" localSheetId="13">#REF!</definedName>
    <definedName name="_prt1114" localSheetId="24">#REF!</definedName>
    <definedName name="_prt1114" localSheetId="15">#REF!</definedName>
    <definedName name="_prt1114" localSheetId="14">#REF!</definedName>
    <definedName name="_prt1114" localSheetId="16">#REF!</definedName>
    <definedName name="_prt1114" localSheetId="17">#REF!</definedName>
    <definedName name="_prt1114" localSheetId="18">#REF!</definedName>
    <definedName name="_prt1114" localSheetId="9">#REF!</definedName>
    <definedName name="_prt1114" localSheetId="5">#REF!</definedName>
    <definedName name="_prt1114" localSheetId="6">#REF!</definedName>
    <definedName name="_prt1114" localSheetId="7">#REF!</definedName>
    <definedName name="_prt1114" localSheetId="8">#REF!</definedName>
    <definedName name="_prt1114">#REF!</definedName>
    <definedName name="_prt11141" localSheetId="3">#REF!</definedName>
    <definedName name="_prt11141" localSheetId="24">#REF!</definedName>
    <definedName name="_prt11141">#REF!</definedName>
    <definedName name="_prt11142" localSheetId="3">#REF!</definedName>
    <definedName name="_prt11142" localSheetId="24">#REF!</definedName>
    <definedName name="_prt11142">#REF!</definedName>
    <definedName name="_prt1115" localSheetId="3">#REF!</definedName>
    <definedName name="_prt1115" localSheetId="24">#REF!</definedName>
    <definedName name="_prt1115">#REF!</definedName>
    <definedName name="_prt1116" localSheetId="3">#REF!</definedName>
    <definedName name="_prt1116" localSheetId="24">#REF!</definedName>
    <definedName name="_prt1116">#REF!</definedName>
    <definedName name="_prt1214" localSheetId="3">#REF!</definedName>
    <definedName name="_prt1214" localSheetId="24">#REF!</definedName>
    <definedName name="_prt1214">#REF!</definedName>
    <definedName name="_prt12141" localSheetId="3">#REF!</definedName>
    <definedName name="_prt12141" localSheetId="24">#REF!</definedName>
    <definedName name="_prt12141">#REF!</definedName>
    <definedName name="_prt1311" localSheetId="3">#REF!</definedName>
    <definedName name="_prt1311" localSheetId="24">#REF!</definedName>
    <definedName name="_prt1311">#REF!</definedName>
    <definedName name="_prt1313" localSheetId="3">#REF!</definedName>
    <definedName name="_prt1313" localSheetId="24">#REF!</definedName>
    <definedName name="_prt1313">#REF!</definedName>
    <definedName name="_prt1314" localSheetId="3">#REF!</definedName>
    <definedName name="_prt1314" localSheetId="24">#REF!</definedName>
    <definedName name="_prt1314">#REF!</definedName>
    <definedName name="_prt1315" localSheetId="3">#REF!</definedName>
    <definedName name="_prt1315" localSheetId="24">#REF!</definedName>
    <definedName name="_prt1315">#REF!</definedName>
    <definedName name="_prt1317" localSheetId="3">#REF!</definedName>
    <definedName name="_prt1317" localSheetId="24">#REF!</definedName>
    <definedName name="_prt1317">#REF!</definedName>
    <definedName name="arsheturt" localSheetId="3">#REF!</definedName>
    <definedName name="arsheturt" localSheetId="24">#REF!</definedName>
    <definedName name="arsheturt">#REF!</definedName>
    <definedName name="asa" localSheetId="3">#REF!</definedName>
    <definedName name="asa" localSheetId="24">#REF!</definedName>
    <definedName name="asa" localSheetId="7">#REF!</definedName>
    <definedName name="asa" localSheetId="8">#REF!</definedName>
    <definedName name="asa">#REF!</definedName>
    <definedName name="asasas" localSheetId="3">#REF!</definedName>
    <definedName name="asasas" localSheetId="24">#REF!</definedName>
    <definedName name="asasas" localSheetId="7">#REF!</definedName>
    <definedName name="asasas" localSheetId="8">#REF!</definedName>
    <definedName name="asasas">#REF!</definedName>
    <definedName name="cur" localSheetId="10">'[1]Bl-1'!$E$1</definedName>
    <definedName name="cur" localSheetId="11">'[1]Bl-1'!$E$1</definedName>
    <definedName name="cur" localSheetId="12">'[1]Bl-1'!$E$1</definedName>
    <definedName name="cur" localSheetId="13">'[1]Bl-1'!$E$1</definedName>
    <definedName name="cur" localSheetId="15">'[2]Bl-1'!$E$1</definedName>
    <definedName name="cur" localSheetId="14">'[1]Bl-1'!$E$1</definedName>
    <definedName name="cur" localSheetId="16">'[1]Bl-1'!$E$1</definedName>
    <definedName name="cur" localSheetId="17">'[1]Bl-1'!$E$1</definedName>
    <definedName name="cur" localSheetId="18">'[1]Bl-1'!$E$1</definedName>
    <definedName name="cur" localSheetId="9">'[3]Bl-1'!$E$1</definedName>
    <definedName name="cur" localSheetId="5">'[1]Bl-1'!$E$1</definedName>
    <definedName name="cur" localSheetId="6">'[1]Bl-1'!$E$1</definedName>
    <definedName name="cur" localSheetId="7">'[1]Bl-1'!$E$1</definedName>
    <definedName name="cur" localSheetId="8">'[4]Bl-1'!$E$1</definedName>
    <definedName name="cur">'[5]Bl-1'!$E$1</definedName>
    <definedName name="Éaa" localSheetId="3">#REF!</definedName>
    <definedName name="Éaa" localSheetId="24">#REF!</definedName>
    <definedName name="Éaa" localSheetId="7">#REF!</definedName>
    <definedName name="Éaa" localSheetId="8">#REF!</definedName>
    <definedName name="Éaa">#REF!</definedName>
    <definedName name="energia" localSheetId="3">#REF!</definedName>
    <definedName name="energia" localSheetId="10">#REF!</definedName>
    <definedName name="energia" localSheetId="11">#REF!</definedName>
    <definedName name="energia" localSheetId="12">#REF!</definedName>
    <definedName name="energia" localSheetId="4">#REF!</definedName>
    <definedName name="energia" localSheetId="13">#REF!</definedName>
    <definedName name="energia" localSheetId="24">#REF!</definedName>
    <definedName name="energia" localSheetId="15">#REF!</definedName>
    <definedName name="energia" localSheetId="14">#REF!</definedName>
    <definedName name="energia" localSheetId="16">#REF!</definedName>
    <definedName name="energia" localSheetId="17">#REF!</definedName>
    <definedName name="energia" localSheetId="18">#REF!</definedName>
    <definedName name="energia" localSheetId="9">#REF!</definedName>
    <definedName name="energia" localSheetId="5">#REF!</definedName>
    <definedName name="energia" localSheetId="6">#REF!</definedName>
    <definedName name="energia" localSheetId="7">#REF!</definedName>
    <definedName name="energia" localSheetId="8">#REF!</definedName>
    <definedName name="energia">#REF!</definedName>
    <definedName name="France" localSheetId="3">#REF!</definedName>
    <definedName name="France" localSheetId="10">#REF!</definedName>
    <definedName name="France" localSheetId="11">#REF!</definedName>
    <definedName name="France" localSheetId="12">#REF!</definedName>
    <definedName name="France" localSheetId="4">#REF!</definedName>
    <definedName name="France" localSheetId="13">#REF!</definedName>
    <definedName name="France" localSheetId="24">#REF!</definedName>
    <definedName name="France" localSheetId="15">#REF!</definedName>
    <definedName name="France" localSheetId="14">#REF!</definedName>
    <definedName name="France" localSheetId="16">#REF!</definedName>
    <definedName name="France" localSheetId="17">#REF!</definedName>
    <definedName name="France" localSheetId="18">#REF!</definedName>
    <definedName name="France" localSheetId="9">#REF!</definedName>
    <definedName name="France" localSheetId="5">#REF!</definedName>
    <definedName name="France" localSheetId="6">#REF!</definedName>
    <definedName name="France" localSheetId="7">#REF!</definedName>
    <definedName name="France" localSheetId="8">#REF!</definedName>
    <definedName name="France">#REF!</definedName>
    <definedName name="gandzapet" localSheetId="3">#REF!</definedName>
    <definedName name="gandzapet" localSheetId="10">#REF!</definedName>
    <definedName name="gandzapet" localSheetId="11">#REF!</definedName>
    <definedName name="gandzapet" localSheetId="12">#REF!</definedName>
    <definedName name="gandzapet" localSheetId="4">#REF!</definedName>
    <definedName name="gandzapet" localSheetId="13">#REF!</definedName>
    <definedName name="gandzapet" localSheetId="24">#REF!</definedName>
    <definedName name="gandzapet" localSheetId="15">#REF!</definedName>
    <definedName name="gandzapet" localSheetId="14">#REF!</definedName>
    <definedName name="gandzapet" localSheetId="16">#REF!</definedName>
    <definedName name="gandzapet" localSheetId="17">#REF!</definedName>
    <definedName name="gandzapet" localSheetId="18">#REF!</definedName>
    <definedName name="gandzapet" localSheetId="9">#REF!</definedName>
    <definedName name="gandzapet" localSheetId="5">#REF!</definedName>
    <definedName name="gandzapet" localSheetId="6">#REF!</definedName>
    <definedName name="gandzapet" localSheetId="7">#REF!</definedName>
    <definedName name="gandzapet" localSheetId="8">#REF!</definedName>
    <definedName name="gandzapet">#REF!</definedName>
    <definedName name="geravchar" localSheetId="3">#REF!</definedName>
    <definedName name="geravchar" localSheetId="24">#REF!</definedName>
    <definedName name="geravchar">#REF!</definedName>
    <definedName name="gortsarna" localSheetId="3">#REF!</definedName>
    <definedName name="gortsarna" localSheetId="24">#REF!</definedName>
    <definedName name="gortsarna">#REF!</definedName>
    <definedName name="hac" localSheetId="3">#REF!</definedName>
    <definedName name="hac" localSheetId="24">#REF!</definedName>
    <definedName name="hac">#REF!</definedName>
    <definedName name="Hayk" localSheetId="3">#REF!</definedName>
    <definedName name="Hayk" localSheetId="24">#REF!</definedName>
    <definedName name="Hayk">#REF!</definedName>
    <definedName name="Hayk1" localSheetId="3">#REF!</definedName>
    <definedName name="Hayk1" localSheetId="24">#REF!</definedName>
    <definedName name="Hayk1">#REF!</definedName>
    <definedName name="Hayk2" localSheetId="3">#REF!</definedName>
    <definedName name="Hayk2" localSheetId="24">#REF!</definedName>
    <definedName name="Hayk2">#REF!</definedName>
    <definedName name="Hayk3" localSheetId="3">#REF!</definedName>
    <definedName name="Hayk3" localSheetId="24">#REF!</definedName>
    <definedName name="Hayk3">#REF!</definedName>
    <definedName name="hj" localSheetId="3">#REF!</definedName>
    <definedName name="hj" localSheetId="24">#REF!</definedName>
    <definedName name="hj">#REF!</definedName>
    <definedName name="Kent.bank" localSheetId="3">#REF!</definedName>
    <definedName name="Kent.bank" localSheetId="24">#REF!</definedName>
    <definedName name="Kent.bank">#REF!</definedName>
    <definedName name="kentroni" localSheetId="3">#REF!</definedName>
    <definedName name="kentroni" localSheetId="24">#REF!</definedName>
    <definedName name="kentroni">#REF!</definedName>
    <definedName name="KENTRWN" localSheetId="3">#REF!</definedName>
    <definedName name="KENTRWN" localSheetId="24">#REF!</definedName>
    <definedName name="KENTRWN">#REF!</definedName>
    <definedName name="lll" localSheetId="3">#REF!</definedName>
    <definedName name="lll" localSheetId="24">#REF!</definedName>
    <definedName name="lll" localSheetId="8">#REF!</definedName>
    <definedName name="lll">#REF!</definedName>
    <definedName name="miasnakan" localSheetId="3">#REF!</definedName>
    <definedName name="miasnakan" localSheetId="24">#REF!</definedName>
    <definedName name="miasnakan">#REF!</definedName>
    <definedName name="Pashtpan" localSheetId="3">#REF!</definedName>
    <definedName name="Pashtpan" localSheetId="24">#REF!</definedName>
    <definedName name="Pashtpan">#REF!</definedName>
    <definedName name="_xlnm.Print_Area" localSheetId="3">'2.Internet'!$A$1:$I$32</definedName>
    <definedName name="_xlnm.Print_Area" localSheetId="1">'5. դատ.դեպ-փոստային'!$A$1:$K$33</definedName>
    <definedName name="_xlnm.Print_Area" localSheetId="0">'ampop 1-4'!$B$1:$X$32</definedName>
    <definedName name="_xlnm.Print_Area" localSheetId="4">'BDX&amp;kargadrich'!$A$1:$L$44</definedName>
    <definedName name="_xlnm.Print_Area" localSheetId="24">'hamematakan 2018-2019'!$A$1:$AB$29</definedName>
    <definedName name="prt11192000" localSheetId="3">#REF!</definedName>
    <definedName name="prt11192000" localSheetId="24">#REF!</definedName>
    <definedName name="prt11192000">#REF!</definedName>
    <definedName name="prt11192001" localSheetId="3">#REF!</definedName>
    <definedName name="prt11192001" localSheetId="24">#REF!</definedName>
    <definedName name="prt11192001">#REF!</definedName>
    <definedName name="Qashatar" localSheetId="3">#REF!</definedName>
    <definedName name="Qashatar" localSheetId="24">#REF!</definedName>
    <definedName name="Qashatar">#REF!</definedName>
    <definedName name="rarabar" localSheetId="3">#REF!</definedName>
    <definedName name="rarabar" localSheetId="24">#REF!</definedName>
    <definedName name="rarabar">#REF!</definedName>
    <definedName name="ü240" localSheetId="3">#REF!</definedName>
    <definedName name="ü240" localSheetId="24">#REF!</definedName>
    <definedName name="ü240">#REF!</definedName>
    <definedName name="V" localSheetId="3">#REF!</definedName>
    <definedName name="V" localSheetId="24">#REF!</definedName>
    <definedName name="V">#REF!</definedName>
  </definedNames>
  <calcPr calcId="162913"/>
</workbook>
</file>

<file path=xl/calcChain.xml><?xml version="1.0" encoding="utf-8"?>
<calcChain xmlns="http://schemas.openxmlformats.org/spreadsheetml/2006/main">
  <c r="R19" i="42" l="1"/>
  <c r="G19" i="42"/>
  <c r="R19" i="37"/>
  <c r="G19" i="37"/>
  <c r="R20" i="43"/>
  <c r="G20" i="43"/>
  <c r="G20" i="38"/>
  <c r="R20" i="38"/>
  <c r="G21" i="24"/>
  <c r="R21" i="24"/>
  <c r="F16" i="3"/>
  <c r="E16" i="3"/>
  <c r="E33" i="5" l="1"/>
  <c r="E30" i="5"/>
  <c r="E32" i="5"/>
  <c r="E22" i="5"/>
  <c r="E31" i="5"/>
  <c r="J13" i="5"/>
  <c r="J14" i="5"/>
  <c r="J15" i="5"/>
  <c r="J16" i="5"/>
  <c r="J17" i="5"/>
  <c r="J18" i="5"/>
  <c r="J12" i="5"/>
  <c r="I12" i="5"/>
  <c r="E12" i="5"/>
  <c r="R13" i="6"/>
  <c r="R14" i="6"/>
  <c r="R15" i="6"/>
  <c r="R17" i="6"/>
  <c r="R18" i="6"/>
  <c r="R12" i="6"/>
  <c r="M13" i="6"/>
  <c r="M14" i="6"/>
  <c r="M15" i="6"/>
  <c r="M17" i="6"/>
  <c r="M18" i="6"/>
  <c r="M12" i="6"/>
  <c r="G20" i="6"/>
  <c r="G13" i="6"/>
  <c r="G14" i="6"/>
  <c r="G15" i="6"/>
  <c r="G16" i="6"/>
  <c r="G17" i="6"/>
  <c r="G18" i="6"/>
  <c r="G12" i="6"/>
  <c r="G20" i="7"/>
  <c r="R13" i="7"/>
  <c r="R14" i="7"/>
  <c r="R15" i="7"/>
  <c r="R16" i="7"/>
  <c r="R17" i="7"/>
  <c r="R12" i="7"/>
  <c r="M13" i="7"/>
  <c r="M14" i="7"/>
  <c r="M15" i="7"/>
  <c r="M16" i="7"/>
  <c r="M17" i="7"/>
  <c r="M18" i="7"/>
  <c r="M12" i="7"/>
  <c r="G13" i="7"/>
  <c r="G14" i="7"/>
  <c r="G15" i="7"/>
  <c r="G16" i="7"/>
  <c r="G17" i="7"/>
  <c r="G18" i="7"/>
  <c r="G12" i="7"/>
  <c r="R13" i="8"/>
  <c r="R14" i="8"/>
  <c r="R15" i="8"/>
  <c r="R16" i="8"/>
  <c r="R17" i="8"/>
  <c r="R12" i="8"/>
  <c r="M13" i="8"/>
  <c r="M14" i="8"/>
  <c r="M15" i="8"/>
  <c r="M16" i="8"/>
  <c r="M17" i="8"/>
  <c r="M12" i="8"/>
  <c r="G13" i="8"/>
  <c r="G14" i="8"/>
  <c r="G15" i="8"/>
  <c r="G16" i="8"/>
  <c r="G17" i="8"/>
  <c r="G18" i="8"/>
  <c r="G12" i="8"/>
  <c r="R13" i="27"/>
  <c r="R14" i="27"/>
  <c r="R15" i="27"/>
  <c r="R16" i="27"/>
  <c r="R17" i="27"/>
  <c r="M13" i="27"/>
  <c r="M14" i="27"/>
  <c r="M15" i="27"/>
  <c r="M16" i="27"/>
  <c r="M17" i="27"/>
  <c r="M18" i="27"/>
  <c r="G13" i="27"/>
  <c r="G14" i="27"/>
  <c r="G15" i="27"/>
  <c r="G16" i="27"/>
  <c r="G17" i="27"/>
  <c r="G18" i="27"/>
  <c r="W19" i="25"/>
  <c r="S19" i="25"/>
  <c r="R20" i="25"/>
  <c r="R13" i="25"/>
  <c r="R14" i="25"/>
  <c r="R15" i="25"/>
  <c r="R16" i="25"/>
  <c r="R17" i="25"/>
  <c r="R18" i="25"/>
  <c r="R12" i="25"/>
  <c r="M13" i="25"/>
  <c r="M14" i="25"/>
  <c r="M15" i="25"/>
  <c r="M16" i="25"/>
  <c r="M17" i="25"/>
  <c r="M18" i="25"/>
  <c r="M12" i="25"/>
  <c r="G20" i="25"/>
  <c r="G13" i="25"/>
  <c r="G14" i="25"/>
  <c r="G15" i="25"/>
  <c r="G16" i="25"/>
  <c r="G17" i="25"/>
  <c r="G18" i="25"/>
  <c r="G12" i="25"/>
  <c r="R13" i="16"/>
  <c r="R14" i="16"/>
  <c r="R15" i="16"/>
  <c r="R16" i="16"/>
  <c r="R12" i="16"/>
  <c r="M13" i="16"/>
  <c r="M14" i="16"/>
  <c r="M15" i="16"/>
  <c r="M16" i="16"/>
  <c r="M17" i="16"/>
  <c r="M18" i="16"/>
  <c r="M12" i="16"/>
  <c r="G13" i="16"/>
  <c r="G14" i="16"/>
  <c r="G15" i="16"/>
  <c r="G16" i="16"/>
  <c r="G17" i="16"/>
  <c r="G18" i="16"/>
  <c r="G12" i="16"/>
  <c r="W20" i="17"/>
  <c r="S20" i="17"/>
  <c r="R21" i="17"/>
  <c r="R13" i="17"/>
  <c r="R14" i="17"/>
  <c r="R15" i="17"/>
  <c r="R16" i="17"/>
  <c r="R17" i="17"/>
  <c r="R18" i="17"/>
  <c r="R19" i="17"/>
  <c r="R12" i="17"/>
  <c r="G21" i="17"/>
  <c r="M13" i="17"/>
  <c r="M14" i="17"/>
  <c r="M15" i="17"/>
  <c r="M16" i="17"/>
  <c r="M17" i="17"/>
  <c r="M18" i="17"/>
  <c r="M19" i="17"/>
  <c r="M12" i="17"/>
  <c r="G13" i="17"/>
  <c r="G14" i="17"/>
  <c r="G15" i="17"/>
  <c r="G16" i="17"/>
  <c r="G17" i="17"/>
  <c r="G18" i="17"/>
  <c r="G19" i="17"/>
  <c r="G12" i="17"/>
  <c r="M13" i="18"/>
  <c r="M14" i="18"/>
  <c r="M15" i="18"/>
  <c r="M16" i="18"/>
  <c r="M17" i="18"/>
  <c r="M19" i="18"/>
  <c r="M12" i="18"/>
  <c r="R13" i="18"/>
  <c r="R14" i="18"/>
  <c r="R15" i="18"/>
  <c r="R16" i="18"/>
  <c r="R17" i="18"/>
  <c r="R19" i="18"/>
  <c r="R12" i="18"/>
  <c r="G21" i="18"/>
  <c r="G13" i="18"/>
  <c r="G14" i="18"/>
  <c r="G15" i="18"/>
  <c r="G16" i="18"/>
  <c r="G17" i="18"/>
  <c r="G18" i="18"/>
  <c r="G19" i="18"/>
  <c r="G12" i="18"/>
  <c r="R22" i="19"/>
  <c r="W21" i="19"/>
  <c r="S21" i="19"/>
  <c r="R13" i="19"/>
  <c r="R14" i="19"/>
  <c r="R15" i="19"/>
  <c r="R16" i="19"/>
  <c r="R17" i="19"/>
  <c r="R18" i="19"/>
  <c r="R19" i="19"/>
  <c r="R20" i="19"/>
  <c r="R12" i="19"/>
  <c r="G22" i="19"/>
  <c r="M13" i="19"/>
  <c r="M14" i="19"/>
  <c r="M15" i="19"/>
  <c r="M16" i="19"/>
  <c r="M17" i="19"/>
  <c r="M18" i="19"/>
  <c r="M19" i="19"/>
  <c r="M20" i="19"/>
  <c r="M12" i="19"/>
  <c r="G13" i="19"/>
  <c r="G14" i="19"/>
  <c r="G15" i="19"/>
  <c r="G16" i="19"/>
  <c r="G17" i="19"/>
  <c r="G18" i="19"/>
  <c r="G19" i="19"/>
  <c r="G20" i="19"/>
  <c r="G12" i="19"/>
  <c r="G22" i="20"/>
  <c r="R13" i="20"/>
  <c r="R14" i="20"/>
  <c r="R15" i="20"/>
  <c r="R16" i="20"/>
  <c r="R17" i="20"/>
  <c r="R18" i="20"/>
  <c r="R20" i="20"/>
  <c r="R12" i="20"/>
  <c r="M13" i="20"/>
  <c r="M14" i="20"/>
  <c r="M15" i="20"/>
  <c r="M16" i="20"/>
  <c r="M17" i="20"/>
  <c r="M18" i="20"/>
  <c r="M20" i="20"/>
  <c r="M12" i="20"/>
  <c r="G13" i="20"/>
  <c r="G14" i="20"/>
  <c r="G15" i="20"/>
  <c r="G16" i="20"/>
  <c r="G17" i="20"/>
  <c r="G18" i="20"/>
  <c r="G19" i="20"/>
  <c r="G20" i="20"/>
  <c r="G12" i="20"/>
  <c r="G21" i="21"/>
  <c r="R13" i="21"/>
  <c r="R14" i="21"/>
  <c r="R15" i="21"/>
  <c r="R16" i="21"/>
  <c r="R17" i="21"/>
  <c r="R19" i="21"/>
  <c r="R12" i="21"/>
  <c r="M13" i="21"/>
  <c r="M14" i="21"/>
  <c r="M15" i="21"/>
  <c r="M16" i="21"/>
  <c r="M17" i="21"/>
  <c r="M19" i="21"/>
  <c r="M12" i="21"/>
  <c r="G13" i="21"/>
  <c r="G14" i="21"/>
  <c r="G15" i="21"/>
  <c r="G16" i="21"/>
  <c r="G17" i="21"/>
  <c r="G18" i="21"/>
  <c r="G19" i="21"/>
  <c r="G12" i="21"/>
  <c r="G21" i="22"/>
  <c r="R13" i="22"/>
  <c r="R14" i="22"/>
  <c r="R15" i="22"/>
  <c r="R16" i="22"/>
  <c r="R17" i="22"/>
  <c r="R18" i="22"/>
  <c r="R12" i="22"/>
  <c r="M13" i="22"/>
  <c r="M14" i="22"/>
  <c r="M15" i="22"/>
  <c r="M16" i="22"/>
  <c r="M17" i="22"/>
  <c r="M18" i="22"/>
  <c r="M12" i="22"/>
  <c r="G13" i="22"/>
  <c r="G14" i="22"/>
  <c r="G15" i="22"/>
  <c r="G16" i="22"/>
  <c r="G17" i="22"/>
  <c r="G18" i="22"/>
  <c r="G19" i="22"/>
  <c r="G12" i="22"/>
  <c r="G21" i="23"/>
  <c r="R13" i="23"/>
  <c r="R14" i="23"/>
  <c r="R15" i="23"/>
  <c r="R16" i="23"/>
  <c r="R17" i="23"/>
  <c r="R12" i="23"/>
  <c r="M13" i="23"/>
  <c r="M14" i="23"/>
  <c r="M15" i="23"/>
  <c r="M16" i="23"/>
  <c r="M17" i="23"/>
  <c r="M19" i="23"/>
  <c r="G13" i="23"/>
  <c r="G14" i="23"/>
  <c r="G15" i="23"/>
  <c r="G16" i="23"/>
  <c r="G17" i="23"/>
  <c r="G18" i="23"/>
  <c r="G19" i="23"/>
  <c r="M12" i="23"/>
  <c r="G12" i="23"/>
  <c r="R13" i="24"/>
  <c r="R14" i="24"/>
  <c r="R15" i="24"/>
  <c r="R16" i="24"/>
  <c r="R17" i="24"/>
  <c r="R18" i="24"/>
  <c r="R12" i="24"/>
  <c r="M13" i="24"/>
  <c r="M14" i="24"/>
  <c r="M15" i="24"/>
  <c r="M16" i="24"/>
  <c r="M17" i="24"/>
  <c r="M18" i="24"/>
  <c r="M12" i="24"/>
  <c r="G13" i="24"/>
  <c r="G14" i="24"/>
  <c r="G15" i="24"/>
  <c r="G16" i="24"/>
  <c r="G17" i="24"/>
  <c r="G18" i="24"/>
  <c r="G19" i="24"/>
  <c r="G12" i="24"/>
  <c r="T19" i="43"/>
  <c r="U19" i="43"/>
  <c r="V19" i="43"/>
  <c r="R13" i="43"/>
  <c r="R14" i="43"/>
  <c r="R15" i="43"/>
  <c r="R16" i="43"/>
  <c r="R17" i="43"/>
  <c r="R12" i="43"/>
  <c r="M13" i="43"/>
  <c r="M14" i="43"/>
  <c r="M15" i="43"/>
  <c r="M16" i="43"/>
  <c r="M17" i="43"/>
  <c r="M12" i="43"/>
  <c r="G13" i="43"/>
  <c r="G14" i="43"/>
  <c r="G15" i="43"/>
  <c r="G16" i="43"/>
  <c r="G17" i="43"/>
  <c r="G18" i="43"/>
  <c r="G12" i="43"/>
  <c r="R12" i="37"/>
  <c r="R13" i="37"/>
  <c r="R14" i="37"/>
  <c r="R15" i="37"/>
  <c r="R17" i="37"/>
  <c r="R11" i="37"/>
  <c r="M12" i="37"/>
  <c r="M13" i="37"/>
  <c r="M14" i="37"/>
  <c r="M15" i="37"/>
  <c r="M17" i="37"/>
  <c r="M11" i="37"/>
  <c r="G12" i="37"/>
  <c r="G13" i="37"/>
  <c r="G14" i="37"/>
  <c r="G15" i="37"/>
  <c r="G16" i="37"/>
  <c r="G17" i="37"/>
  <c r="G11" i="37"/>
  <c r="W18" i="42"/>
  <c r="S18" i="42"/>
  <c r="R12" i="42"/>
  <c r="R13" i="42"/>
  <c r="R14" i="42"/>
  <c r="R15" i="42"/>
  <c r="R16" i="42"/>
  <c r="R17" i="42"/>
  <c r="R11" i="42"/>
  <c r="M12" i="42"/>
  <c r="M13" i="42"/>
  <c r="M14" i="42"/>
  <c r="M15" i="42"/>
  <c r="M16" i="42"/>
  <c r="M17" i="42"/>
  <c r="M11" i="42"/>
  <c r="G12" i="42"/>
  <c r="G13" i="42"/>
  <c r="G14" i="42"/>
  <c r="G15" i="42"/>
  <c r="G16" i="42"/>
  <c r="G17" i="42"/>
  <c r="G11" i="42"/>
  <c r="E26" i="24" l="1"/>
  <c r="F26" i="24"/>
  <c r="G26" i="24"/>
  <c r="D26" i="24"/>
  <c r="E26" i="23"/>
  <c r="F26" i="23"/>
  <c r="G26" i="23"/>
  <c r="D26" i="23"/>
  <c r="E26" i="22"/>
  <c r="F26" i="22"/>
  <c r="G26" i="22"/>
  <c r="D26" i="22"/>
  <c r="D27" i="21"/>
  <c r="E27" i="21"/>
  <c r="F27" i="21"/>
  <c r="C27" i="21"/>
  <c r="D28" i="20"/>
  <c r="E28" i="20"/>
  <c r="F28" i="20"/>
  <c r="G28" i="20"/>
  <c r="C28" i="20"/>
  <c r="E28" i="19"/>
  <c r="F28" i="19"/>
  <c r="G28" i="19"/>
  <c r="D28" i="19"/>
  <c r="E27" i="18"/>
  <c r="F27" i="18"/>
  <c r="G27" i="18"/>
  <c r="H27" i="18"/>
  <c r="D27" i="18"/>
  <c r="W14" i="3" l="1"/>
  <c r="V14" i="3"/>
  <c r="W13" i="3"/>
  <c r="V13" i="3"/>
  <c r="W12" i="3"/>
  <c r="V12" i="3"/>
  <c r="P13" i="3"/>
  <c r="Q13" i="3"/>
  <c r="R13" i="3"/>
  <c r="S13" i="3"/>
  <c r="Q14" i="3"/>
  <c r="S14" i="3"/>
  <c r="S15" i="3"/>
  <c r="S16" i="3"/>
  <c r="S17" i="3"/>
  <c r="S18" i="3"/>
  <c r="S19" i="3"/>
  <c r="S20" i="3"/>
  <c r="S21" i="3"/>
  <c r="S22" i="3"/>
  <c r="S24" i="3"/>
  <c r="S25" i="3"/>
  <c r="S26" i="3"/>
  <c r="S27" i="3"/>
  <c r="S28" i="3"/>
  <c r="Q29" i="3"/>
  <c r="R29" i="3"/>
  <c r="S29" i="3"/>
  <c r="S30" i="3"/>
  <c r="S31" i="3"/>
  <c r="S32" i="3"/>
  <c r="S23" i="3"/>
  <c r="H14" i="29" l="1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13" i="29"/>
  <c r="G44" i="5" l="1"/>
  <c r="Y13" i="3" l="1"/>
  <c r="G30" i="3" l="1"/>
  <c r="G29" i="3"/>
  <c r="G28" i="3"/>
  <c r="G18" i="3"/>
  <c r="G17" i="3"/>
  <c r="G16" i="3"/>
  <c r="G15" i="3"/>
  <c r="G14" i="3"/>
  <c r="G13" i="3"/>
  <c r="I13" i="3" s="1"/>
  <c r="L13" i="3" s="1"/>
  <c r="U13" i="3"/>
  <c r="X13" i="3" s="1"/>
  <c r="G32" i="3" l="1"/>
  <c r="G31" i="3"/>
  <c r="I13" i="33"/>
  <c r="E13" i="33"/>
  <c r="F31" i="29" l="1"/>
  <c r="F32" i="29"/>
  <c r="I30" i="33" l="1"/>
  <c r="E30" i="33"/>
  <c r="G31" i="33"/>
  <c r="I31" i="33" s="1"/>
  <c r="H28" i="27" l="1"/>
  <c r="E29" i="27"/>
  <c r="E14" i="41" s="1"/>
  <c r="F29" i="27"/>
  <c r="F14" i="41" s="1"/>
  <c r="G29" i="27"/>
  <c r="G14" i="41" s="1"/>
  <c r="D29" i="27"/>
  <c r="D14" i="41" s="1"/>
  <c r="I44" i="5"/>
  <c r="G10" i="41" s="1"/>
  <c r="D10" i="41"/>
  <c r="B28" i="41"/>
  <c r="B26" i="41"/>
  <c r="J43" i="5"/>
  <c r="E28" i="17" l="1"/>
  <c r="G25" i="43" l="1"/>
  <c r="G26" i="41" s="1"/>
  <c r="F25" i="43"/>
  <c r="F26" i="41" s="1"/>
  <c r="E25" i="43"/>
  <c r="E26" i="41" s="1"/>
  <c r="D25" i="43"/>
  <c r="D26" i="41" s="1"/>
  <c r="H24" i="43"/>
  <c r="H25" i="43" s="1"/>
  <c r="D19" i="43"/>
  <c r="C19" i="43"/>
  <c r="P18" i="43"/>
  <c r="I18" i="43"/>
  <c r="J18" i="43" s="1"/>
  <c r="K18" i="43" s="1"/>
  <c r="L18" i="43" s="1"/>
  <c r="M18" i="43" s="1"/>
  <c r="F18" i="43"/>
  <c r="P17" i="43"/>
  <c r="Q17" i="43" s="1"/>
  <c r="I17" i="43"/>
  <c r="J17" i="43" s="1"/>
  <c r="K17" i="43" s="1"/>
  <c r="L17" i="43" s="1"/>
  <c r="F17" i="43"/>
  <c r="P16" i="43"/>
  <c r="Q16" i="43" s="1"/>
  <c r="I16" i="43"/>
  <c r="J16" i="43" s="1"/>
  <c r="K16" i="43" s="1"/>
  <c r="L16" i="43" s="1"/>
  <c r="F16" i="43"/>
  <c r="P15" i="43"/>
  <c r="Q15" i="43" s="1"/>
  <c r="I15" i="43"/>
  <c r="J15" i="43" s="1"/>
  <c r="K15" i="43" s="1"/>
  <c r="L15" i="43" s="1"/>
  <c r="F15" i="43"/>
  <c r="P14" i="43"/>
  <c r="Q14" i="43" s="1"/>
  <c r="I14" i="43"/>
  <c r="J14" i="43" s="1"/>
  <c r="K14" i="43" s="1"/>
  <c r="L14" i="43" s="1"/>
  <c r="F14" i="43"/>
  <c r="P13" i="43"/>
  <c r="Q13" i="43" s="1"/>
  <c r="I13" i="43"/>
  <c r="J13" i="43" s="1"/>
  <c r="K13" i="43" s="1"/>
  <c r="L13" i="43" s="1"/>
  <c r="F13" i="43"/>
  <c r="P12" i="43"/>
  <c r="Q12" i="43" s="1"/>
  <c r="I12" i="43"/>
  <c r="F12" i="43"/>
  <c r="G23" i="42"/>
  <c r="G28" i="41" s="1"/>
  <c r="F23" i="42"/>
  <c r="F28" i="41" s="1"/>
  <c r="E23" i="42"/>
  <c r="E28" i="41" s="1"/>
  <c r="D23" i="42"/>
  <c r="D28" i="41" s="1"/>
  <c r="H22" i="42"/>
  <c r="V18" i="42"/>
  <c r="U18" i="42"/>
  <c r="T18" i="42"/>
  <c r="D18" i="42"/>
  <c r="C18" i="42"/>
  <c r="P17" i="42"/>
  <c r="I17" i="42"/>
  <c r="J17" i="42" s="1"/>
  <c r="K17" i="42" s="1"/>
  <c r="L17" i="42" s="1"/>
  <c r="F17" i="42"/>
  <c r="P16" i="42"/>
  <c r="I16" i="42"/>
  <c r="J16" i="42" s="1"/>
  <c r="K16" i="42" s="1"/>
  <c r="L16" i="42" s="1"/>
  <c r="F16" i="42"/>
  <c r="P15" i="42"/>
  <c r="I15" i="42"/>
  <c r="J15" i="42" s="1"/>
  <c r="K15" i="42" s="1"/>
  <c r="L15" i="42" s="1"/>
  <c r="F15" i="42"/>
  <c r="P14" i="42"/>
  <c r="I14" i="42"/>
  <c r="J14" i="42" s="1"/>
  <c r="K14" i="42" s="1"/>
  <c r="L14" i="42" s="1"/>
  <c r="F14" i="42"/>
  <c r="P13" i="42"/>
  <c r="I13" i="42"/>
  <c r="J13" i="42" s="1"/>
  <c r="K13" i="42" s="1"/>
  <c r="L13" i="42" s="1"/>
  <c r="F13" i="42"/>
  <c r="P12" i="42"/>
  <c r="I12" i="42"/>
  <c r="J12" i="42" s="1"/>
  <c r="K12" i="42" s="1"/>
  <c r="L12" i="42" s="1"/>
  <c r="F12" i="42"/>
  <c r="P11" i="42"/>
  <c r="I11" i="42"/>
  <c r="F11" i="42"/>
  <c r="N30" i="29"/>
  <c r="J30" i="29"/>
  <c r="F30" i="29"/>
  <c r="G30" i="29" s="1"/>
  <c r="D30" i="3" s="1"/>
  <c r="P30" i="3" s="1"/>
  <c r="N32" i="29"/>
  <c r="Q18" i="43" l="1"/>
  <c r="R18" i="43"/>
  <c r="S16" i="43"/>
  <c r="W16" i="43" s="1"/>
  <c r="S15" i="43"/>
  <c r="W15" i="43" s="1"/>
  <c r="F18" i="42"/>
  <c r="I18" i="42"/>
  <c r="S18" i="43"/>
  <c r="W18" i="43" s="1"/>
  <c r="W19" i="43" s="1"/>
  <c r="H28" i="41"/>
  <c r="H23" i="42"/>
  <c r="S13" i="43"/>
  <c r="W13" i="43" s="1"/>
  <c r="I19" i="43"/>
  <c r="F19" i="43"/>
  <c r="G19" i="43"/>
  <c r="E30" i="3" s="1"/>
  <c r="Q30" i="3" s="1"/>
  <c r="S14" i="43"/>
  <c r="W14" i="43" s="1"/>
  <c r="S17" i="43"/>
  <c r="W17" i="43" s="1"/>
  <c r="R19" i="43"/>
  <c r="J12" i="43"/>
  <c r="K12" i="43" s="1"/>
  <c r="L12" i="43" s="1"/>
  <c r="Q15" i="42"/>
  <c r="S15" i="42" s="1"/>
  <c r="W15" i="42" s="1"/>
  <c r="Q11" i="42"/>
  <c r="Q12" i="42"/>
  <c r="S12" i="42" s="1"/>
  <c r="W12" i="42" s="1"/>
  <c r="Q13" i="42"/>
  <c r="S13" i="42" s="1"/>
  <c r="W13" i="42" s="1"/>
  <c r="Q14" i="42"/>
  <c r="S14" i="42" s="1"/>
  <c r="W14" i="42" s="1"/>
  <c r="Q16" i="42"/>
  <c r="S16" i="42" s="1"/>
  <c r="W16" i="42" s="1"/>
  <c r="Q17" i="42"/>
  <c r="S17" i="42" s="1"/>
  <c r="W17" i="42" s="1"/>
  <c r="J11" i="42"/>
  <c r="K11" i="42" s="1"/>
  <c r="L11" i="42" s="1"/>
  <c r="K30" i="29"/>
  <c r="P30" i="29"/>
  <c r="J32" i="29"/>
  <c r="G32" i="29"/>
  <c r="D32" i="3" s="1"/>
  <c r="P32" i="3" s="1"/>
  <c r="R18" i="42" l="1"/>
  <c r="L19" i="43"/>
  <c r="L18" i="42"/>
  <c r="M18" i="42"/>
  <c r="G18" i="42"/>
  <c r="E32" i="3" s="1"/>
  <c r="Q32" i="3" s="1"/>
  <c r="P32" i="29"/>
  <c r="K32" i="29"/>
  <c r="S11" i="42" l="1"/>
  <c r="W11" i="42" s="1"/>
  <c r="F32" i="3"/>
  <c r="R32" i="3" s="1"/>
  <c r="Y32" i="3" s="1"/>
  <c r="M19" i="43"/>
  <c r="S19" i="43" s="1"/>
  <c r="S12" i="43"/>
  <c r="W12" i="43" s="1"/>
  <c r="F30" i="3" l="1"/>
  <c r="R30" i="3" s="1"/>
  <c r="Y30" i="3" l="1"/>
  <c r="U30" i="3"/>
  <c r="X30" i="3" s="1"/>
  <c r="K10" i="3"/>
  <c r="J10" i="3"/>
  <c r="H10" i="3"/>
  <c r="D19" i="41" l="1"/>
  <c r="G13" i="29" l="1"/>
  <c r="H26" i="41" l="1"/>
  <c r="E25" i="41"/>
  <c r="F25" i="41"/>
  <c r="G25" i="41"/>
  <c r="D25" i="41"/>
  <c r="B25" i="41"/>
  <c r="E24" i="41"/>
  <c r="F24" i="41"/>
  <c r="G24" i="41"/>
  <c r="D24" i="41"/>
  <c r="B24" i="41"/>
  <c r="E23" i="41"/>
  <c r="F23" i="41"/>
  <c r="G23" i="41"/>
  <c r="D23" i="41"/>
  <c r="B23" i="41"/>
  <c r="E22" i="41"/>
  <c r="F22" i="41"/>
  <c r="G22" i="41"/>
  <c r="D22" i="41"/>
  <c r="B22" i="41"/>
  <c r="E21" i="41"/>
  <c r="F21" i="41"/>
  <c r="G21" i="41"/>
  <c r="D21" i="41"/>
  <c r="B21" i="41"/>
  <c r="B20" i="41"/>
  <c r="E19" i="41"/>
  <c r="F19" i="41"/>
  <c r="G19" i="41"/>
  <c r="B19" i="41"/>
  <c r="E18" i="41"/>
  <c r="F18" i="41"/>
  <c r="G18" i="41"/>
  <c r="D18" i="41"/>
  <c r="B18" i="41"/>
  <c r="E17" i="41"/>
  <c r="B17" i="41"/>
  <c r="E16" i="41"/>
  <c r="F16" i="41"/>
  <c r="G16" i="41"/>
  <c r="D16" i="41"/>
  <c r="B16" i="41"/>
  <c r="B27" i="41"/>
  <c r="E15" i="41"/>
  <c r="F15" i="41"/>
  <c r="G15" i="41"/>
  <c r="D15" i="41"/>
  <c r="B15" i="41"/>
  <c r="B14" i="41"/>
  <c r="E13" i="41"/>
  <c r="F13" i="41"/>
  <c r="G13" i="41"/>
  <c r="D13" i="41"/>
  <c r="B13" i="41"/>
  <c r="E12" i="41"/>
  <c r="F12" i="41"/>
  <c r="G12" i="41"/>
  <c r="D12" i="41"/>
  <c r="B12" i="41"/>
  <c r="E11" i="41"/>
  <c r="F11" i="41"/>
  <c r="G11" i="41"/>
  <c r="D11" i="41"/>
  <c r="B11" i="41"/>
  <c r="H25" i="41" l="1"/>
  <c r="H19" i="41"/>
  <c r="H16" i="41"/>
  <c r="H24" i="41"/>
  <c r="H23" i="41"/>
  <c r="H22" i="41"/>
  <c r="H21" i="41"/>
  <c r="H15" i="41"/>
  <c r="H12" i="41"/>
  <c r="H18" i="41"/>
  <c r="H14" i="41"/>
  <c r="H13" i="41"/>
  <c r="H11" i="41"/>
  <c r="H23" i="37" l="1"/>
  <c r="C20" i="21" l="1"/>
  <c r="F19" i="29" l="1"/>
  <c r="G19" i="29" s="1"/>
  <c r="I30" i="3" l="1"/>
  <c r="L30" i="3" s="1"/>
  <c r="E28" i="33" l="1"/>
  <c r="J28" i="29"/>
  <c r="F28" i="29"/>
  <c r="G28" i="29" s="1"/>
  <c r="D28" i="3" s="1"/>
  <c r="P28" i="3" s="1"/>
  <c r="F29" i="29"/>
  <c r="G29" i="29" s="1"/>
  <c r="P29" i="29" s="1"/>
  <c r="J29" i="29"/>
  <c r="D29" i="3" l="1"/>
  <c r="P29" i="3" s="1"/>
  <c r="Y29" i="3" s="1"/>
  <c r="P28" i="29"/>
  <c r="K28" i="29"/>
  <c r="K29" i="29"/>
  <c r="V10" i="3" l="1"/>
  <c r="D7" i="39" l="1"/>
  <c r="D8" i="39"/>
  <c r="D6" i="39"/>
  <c r="W10" i="3" l="1"/>
  <c r="T10" i="3"/>
  <c r="U29" i="3"/>
  <c r="X29" i="3" s="1"/>
  <c r="U32" i="3"/>
  <c r="X32" i="3" s="1"/>
  <c r="X9" i="3"/>
  <c r="O9" i="3"/>
  <c r="P9" i="3" s="1"/>
  <c r="Q9" i="3" s="1"/>
  <c r="R9" i="3" s="1"/>
  <c r="S9" i="3" s="1"/>
  <c r="C11" i="29" l="1"/>
  <c r="I11" i="29"/>
  <c r="H11" i="29" l="1"/>
  <c r="Q11" i="29"/>
  <c r="O11" i="29"/>
  <c r="C10" i="33"/>
  <c r="D10" i="33"/>
  <c r="C19" i="5" l="1"/>
  <c r="H13" i="5"/>
  <c r="I13" i="5" s="1"/>
  <c r="E13" i="5"/>
  <c r="G25" i="38"/>
  <c r="F25" i="38"/>
  <c r="E25" i="38"/>
  <c r="D25" i="38"/>
  <c r="H24" i="38"/>
  <c r="H25" i="38" s="1"/>
  <c r="V19" i="38"/>
  <c r="U19" i="38"/>
  <c r="T19" i="38"/>
  <c r="D19" i="38"/>
  <c r="C19" i="38"/>
  <c r="P18" i="38"/>
  <c r="I18" i="38"/>
  <c r="J18" i="38" s="1"/>
  <c r="K18" i="38" s="1"/>
  <c r="L18" i="38" s="1"/>
  <c r="M18" i="38" s="1"/>
  <c r="F18" i="38"/>
  <c r="G18" i="38" s="1"/>
  <c r="P17" i="38"/>
  <c r="I17" i="38"/>
  <c r="K17" i="38"/>
  <c r="L17" i="38" s="1"/>
  <c r="M17" i="38" s="1"/>
  <c r="F17" i="38"/>
  <c r="G17" i="38" s="1"/>
  <c r="P16" i="38"/>
  <c r="I16" i="38"/>
  <c r="J16" i="38" s="1"/>
  <c r="K16" i="38" s="1"/>
  <c r="L16" i="38" s="1"/>
  <c r="M16" i="38" s="1"/>
  <c r="F16" i="38"/>
  <c r="G16" i="38" s="1"/>
  <c r="P15" i="38"/>
  <c r="I15" i="38"/>
  <c r="J15" i="38" s="1"/>
  <c r="K15" i="38" s="1"/>
  <c r="L15" i="38" s="1"/>
  <c r="M15" i="38" s="1"/>
  <c r="F15" i="38"/>
  <c r="G15" i="38" s="1"/>
  <c r="P14" i="38"/>
  <c r="I14" i="38"/>
  <c r="J14" i="38" s="1"/>
  <c r="K14" i="38" s="1"/>
  <c r="L14" i="38" s="1"/>
  <c r="M14" i="38" s="1"/>
  <c r="F14" i="38"/>
  <c r="G14" i="38" s="1"/>
  <c r="P13" i="38"/>
  <c r="I13" i="38"/>
  <c r="J13" i="38" s="1"/>
  <c r="K13" i="38" s="1"/>
  <c r="L13" i="38" s="1"/>
  <c r="M13" i="38" s="1"/>
  <c r="F13" i="38"/>
  <c r="G13" i="38" s="1"/>
  <c r="P12" i="38"/>
  <c r="I12" i="38"/>
  <c r="J12" i="38" s="1"/>
  <c r="K12" i="38" s="1"/>
  <c r="L12" i="38" s="1"/>
  <c r="M12" i="38" s="1"/>
  <c r="F12" i="38"/>
  <c r="G12" i="38" s="1"/>
  <c r="E29" i="33"/>
  <c r="E22" i="6"/>
  <c r="E29" i="6" s="1"/>
  <c r="F14" i="36" s="1"/>
  <c r="H34" i="6"/>
  <c r="E36" i="6"/>
  <c r="AA19" i="36"/>
  <c r="M19" i="36"/>
  <c r="Z19" i="36"/>
  <c r="N15" i="29"/>
  <c r="N16" i="29"/>
  <c r="N17" i="29"/>
  <c r="N18" i="29"/>
  <c r="N31" i="29"/>
  <c r="N19" i="29"/>
  <c r="N20" i="29"/>
  <c r="N21" i="29"/>
  <c r="N22" i="29"/>
  <c r="N23" i="29"/>
  <c r="N24" i="29"/>
  <c r="N25" i="29"/>
  <c r="N26" i="29"/>
  <c r="N27" i="29"/>
  <c r="N14" i="29"/>
  <c r="G32" i="33"/>
  <c r="I32" i="33" s="1"/>
  <c r="I14" i="33"/>
  <c r="I15" i="33"/>
  <c r="I16" i="33"/>
  <c r="I17" i="33"/>
  <c r="I18" i="33"/>
  <c r="I12" i="33"/>
  <c r="G27" i="33"/>
  <c r="I27" i="33" s="1"/>
  <c r="G26" i="33"/>
  <c r="I26" i="33" s="1"/>
  <c r="G25" i="33"/>
  <c r="I25" i="33" s="1"/>
  <c r="G24" i="33"/>
  <c r="I24" i="33" s="1"/>
  <c r="G23" i="33"/>
  <c r="I23" i="33" s="1"/>
  <c r="G22" i="33"/>
  <c r="I22" i="33" s="1"/>
  <c r="G21" i="33"/>
  <c r="I21" i="33" s="1"/>
  <c r="G20" i="33"/>
  <c r="I20" i="33" s="1"/>
  <c r="G19" i="33"/>
  <c r="I19" i="33" s="1"/>
  <c r="G31" i="29"/>
  <c r="G25" i="37"/>
  <c r="G27" i="41" s="1"/>
  <c r="F25" i="37"/>
  <c r="E25" i="37"/>
  <c r="E27" i="41" s="1"/>
  <c r="D25" i="37"/>
  <c r="D27" i="41" s="1"/>
  <c r="H24" i="37"/>
  <c r="H22" i="37"/>
  <c r="V18" i="37"/>
  <c r="U18" i="37"/>
  <c r="T18" i="37"/>
  <c r="D18" i="37"/>
  <c r="C18" i="37"/>
  <c r="P17" i="37"/>
  <c r="Q17" i="37" s="1"/>
  <c r="I17" i="37"/>
  <c r="J17" i="37" s="1"/>
  <c r="K17" i="37" s="1"/>
  <c r="L17" i="37" s="1"/>
  <c r="F17" i="37"/>
  <c r="P16" i="37"/>
  <c r="I16" i="37"/>
  <c r="J16" i="37" s="1"/>
  <c r="K16" i="37" s="1"/>
  <c r="L16" i="37" s="1"/>
  <c r="M16" i="37" s="1"/>
  <c r="F16" i="37"/>
  <c r="P15" i="37"/>
  <c r="Q15" i="37" s="1"/>
  <c r="I15" i="37"/>
  <c r="J15" i="37" s="1"/>
  <c r="K15" i="37" s="1"/>
  <c r="L15" i="37" s="1"/>
  <c r="F15" i="37"/>
  <c r="P14" i="37"/>
  <c r="Q14" i="37" s="1"/>
  <c r="I14" i="37"/>
  <c r="J14" i="37" s="1"/>
  <c r="K14" i="37" s="1"/>
  <c r="L14" i="37" s="1"/>
  <c r="F14" i="37"/>
  <c r="P13" i="37"/>
  <c r="Q13" i="37" s="1"/>
  <c r="I13" i="37"/>
  <c r="J13" i="37" s="1"/>
  <c r="K13" i="37" s="1"/>
  <c r="L13" i="37" s="1"/>
  <c r="F13" i="37"/>
  <c r="P12" i="37"/>
  <c r="Q12" i="37" s="1"/>
  <c r="I12" i="37"/>
  <c r="J12" i="37" s="1"/>
  <c r="K12" i="37" s="1"/>
  <c r="L12" i="37" s="1"/>
  <c r="F12" i="37"/>
  <c r="P11" i="37"/>
  <c r="Q11" i="37" s="1"/>
  <c r="I11" i="37"/>
  <c r="J11" i="37" s="1"/>
  <c r="K11" i="37" s="1"/>
  <c r="L11" i="37" s="1"/>
  <c r="F11" i="37"/>
  <c r="J31" i="29"/>
  <c r="J27" i="29"/>
  <c r="F27" i="29"/>
  <c r="J26" i="29"/>
  <c r="F26" i="29"/>
  <c r="G26" i="29" s="1"/>
  <c r="P26" i="29" s="1"/>
  <c r="J25" i="29"/>
  <c r="F25" i="29"/>
  <c r="G25" i="29" s="1"/>
  <c r="C27" i="36" s="1"/>
  <c r="J24" i="29"/>
  <c r="F24" i="29"/>
  <c r="G24" i="29" s="1"/>
  <c r="J23" i="29"/>
  <c r="F23" i="29"/>
  <c r="G23" i="29" s="1"/>
  <c r="J22" i="29"/>
  <c r="F22" i="29"/>
  <c r="G22" i="29" s="1"/>
  <c r="D22" i="3" s="1"/>
  <c r="P22" i="3" s="1"/>
  <c r="J21" i="29"/>
  <c r="F21" i="29"/>
  <c r="G21" i="29" s="1"/>
  <c r="J20" i="29"/>
  <c r="F20" i="29"/>
  <c r="G20" i="29" s="1"/>
  <c r="P20" i="29" s="1"/>
  <c r="J19" i="29"/>
  <c r="P19" i="29"/>
  <c r="J18" i="29"/>
  <c r="F18" i="29"/>
  <c r="G18" i="29" s="1"/>
  <c r="J17" i="29"/>
  <c r="F17" i="29"/>
  <c r="G17" i="29" s="1"/>
  <c r="P17" i="29" s="1"/>
  <c r="J16" i="29"/>
  <c r="F16" i="29"/>
  <c r="G16" i="29" s="1"/>
  <c r="J15" i="29"/>
  <c r="F15" i="29"/>
  <c r="G15" i="29" s="1"/>
  <c r="F14" i="29"/>
  <c r="G14" i="29" s="1"/>
  <c r="P14" i="29" s="1"/>
  <c r="K13" i="29"/>
  <c r="B10" i="29"/>
  <c r="C10" i="29" s="1"/>
  <c r="D10" i="29" s="1"/>
  <c r="E10" i="29" s="1"/>
  <c r="F10" i="29" s="1"/>
  <c r="G10" i="29" s="1"/>
  <c r="H10" i="29" s="1"/>
  <c r="I10" i="29" s="1"/>
  <c r="J10" i="29" s="1"/>
  <c r="K10" i="29" s="1"/>
  <c r="V11" i="36"/>
  <c r="W11" i="36"/>
  <c r="X11" i="36"/>
  <c r="Z14" i="36"/>
  <c r="AA14" i="36"/>
  <c r="Z15" i="36"/>
  <c r="AA15" i="36"/>
  <c r="Z16" i="36"/>
  <c r="AA16" i="36"/>
  <c r="Z17" i="36"/>
  <c r="AA17" i="36"/>
  <c r="Z18" i="36"/>
  <c r="AA18" i="36"/>
  <c r="Z20" i="36"/>
  <c r="AA20" i="36"/>
  <c r="Z21" i="36"/>
  <c r="AA21" i="36"/>
  <c r="Z22" i="36"/>
  <c r="AA22" i="36"/>
  <c r="Z23" i="36"/>
  <c r="AA23" i="36"/>
  <c r="Z24" i="36"/>
  <c r="AA24" i="36"/>
  <c r="Z25" i="36"/>
  <c r="AA25" i="36"/>
  <c r="Z26" i="36"/>
  <c r="AA26" i="36"/>
  <c r="Z27" i="36"/>
  <c r="AA27" i="36"/>
  <c r="Z28" i="36"/>
  <c r="AA28" i="36"/>
  <c r="Z29" i="36"/>
  <c r="AA29" i="36"/>
  <c r="AA13" i="36"/>
  <c r="Z13" i="36"/>
  <c r="T11" i="36"/>
  <c r="U11" i="36"/>
  <c r="Q11" i="36"/>
  <c r="R11" i="36"/>
  <c r="N11" i="36"/>
  <c r="O11" i="36"/>
  <c r="J11" i="36"/>
  <c r="K11" i="36"/>
  <c r="G11" i="36"/>
  <c r="H11" i="36"/>
  <c r="D11" i="36"/>
  <c r="E11" i="36"/>
  <c r="M29" i="36"/>
  <c r="M28" i="36"/>
  <c r="M27" i="36"/>
  <c r="M26" i="36"/>
  <c r="M25" i="36"/>
  <c r="M24" i="36"/>
  <c r="M23" i="36"/>
  <c r="M22" i="36"/>
  <c r="M21" i="36"/>
  <c r="M20" i="36"/>
  <c r="M18" i="36"/>
  <c r="M17" i="36"/>
  <c r="M16" i="36"/>
  <c r="M15" i="36"/>
  <c r="M13" i="36"/>
  <c r="S11" i="36"/>
  <c r="B10" i="36"/>
  <c r="C10" i="36" s="1"/>
  <c r="F10" i="36" s="1"/>
  <c r="I10" i="36" s="1"/>
  <c r="M10" i="36" s="1"/>
  <c r="P10" i="36" s="1"/>
  <c r="H27" i="27"/>
  <c r="H29" i="27" s="1"/>
  <c r="H25" i="24"/>
  <c r="H26" i="24" s="1"/>
  <c r="H25" i="23"/>
  <c r="H26" i="23" s="1"/>
  <c r="H25" i="22"/>
  <c r="H26" i="22" s="1"/>
  <c r="G26" i="21"/>
  <c r="G27" i="21" s="1"/>
  <c r="G20" i="41"/>
  <c r="F20" i="41"/>
  <c r="E20" i="41"/>
  <c r="D20" i="41"/>
  <c r="G27" i="20"/>
  <c r="H27" i="19"/>
  <c r="H28" i="19" s="1"/>
  <c r="H26" i="18"/>
  <c r="G28" i="17"/>
  <c r="G17" i="41" s="1"/>
  <c r="F28" i="17"/>
  <c r="F17" i="41" s="1"/>
  <c r="D28" i="17"/>
  <c r="D17" i="41" s="1"/>
  <c r="H27" i="17"/>
  <c r="H26" i="17"/>
  <c r="F26" i="16"/>
  <c r="E26" i="16"/>
  <c r="D26" i="16"/>
  <c r="C26" i="16"/>
  <c r="G25" i="16"/>
  <c r="G24" i="16"/>
  <c r="G24" i="25"/>
  <c r="F24" i="25"/>
  <c r="E24" i="25"/>
  <c r="D24" i="25"/>
  <c r="H23" i="25"/>
  <c r="H24" i="25" s="1"/>
  <c r="G25" i="7"/>
  <c r="F25" i="7"/>
  <c r="E25" i="7"/>
  <c r="D25" i="7"/>
  <c r="H24" i="7"/>
  <c r="H25" i="7" s="1"/>
  <c r="H25" i="8"/>
  <c r="G25" i="8"/>
  <c r="F25" i="8"/>
  <c r="E25" i="8"/>
  <c r="I24" i="8"/>
  <c r="I25" i="8" s="1"/>
  <c r="G36" i="6"/>
  <c r="D36" i="6"/>
  <c r="H35" i="6"/>
  <c r="H44" i="5"/>
  <c r="F10" i="41" s="1"/>
  <c r="E10" i="41"/>
  <c r="E44" i="5"/>
  <c r="C10" i="41" s="1"/>
  <c r="J42" i="5"/>
  <c r="J44" i="5" s="1"/>
  <c r="V20" i="24"/>
  <c r="U20" i="24"/>
  <c r="T20" i="24"/>
  <c r="V20" i="23"/>
  <c r="U20" i="23"/>
  <c r="T20" i="23"/>
  <c r="V20" i="22"/>
  <c r="U20" i="22"/>
  <c r="T20" i="22"/>
  <c r="V20" i="21"/>
  <c r="U20" i="21"/>
  <c r="T20" i="21"/>
  <c r="V21" i="20"/>
  <c r="U21" i="20"/>
  <c r="T21" i="20"/>
  <c r="V21" i="19"/>
  <c r="U21" i="19"/>
  <c r="T21" i="19"/>
  <c r="V20" i="18"/>
  <c r="U20" i="18"/>
  <c r="T20" i="18"/>
  <c r="V20" i="17"/>
  <c r="U20" i="17"/>
  <c r="T20" i="17"/>
  <c r="V19" i="16"/>
  <c r="U19" i="16"/>
  <c r="T19" i="16"/>
  <c r="V19" i="25"/>
  <c r="U19" i="25"/>
  <c r="T19" i="25"/>
  <c r="V19" i="27"/>
  <c r="U19" i="27"/>
  <c r="T19" i="27"/>
  <c r="V19" i="8"/>
  <c r="U19" i="8"/>
  <c r="T19" i="8"/>
  <c r="V19" i="7"/>
  <c r="U19" i="7"/>
  <c r="T19" i="7"/>
  <c r="W17" i="6"/>
  <c r="W18" i="6"/>
  <c r="U19" i="6"/>
  <c r="V19" i="6"/>
  <c r="T19" i="6"/>
  <c r="C19" i="6"/>
  <c r="J18" i="17"/>
  <c r="I20" i="19"/>
  <c r="J20" i="19" s="1"/>
  <c r="K20" i="19" s="1"/>
  <c r="L20" i="19" s="1"/>
  <c r="I18" i="16"/>
  <c r="J18" i="16" s="1"/>
  <c r="K18" i="16" s="1"/>
  <c r="L18" i="16" s="1"/>
  <c r="L17" i="16"/>
  <c r="L18" i="17"/>
  <c r="L19" i="19"/>
  <c r="I19" i="21"/>
  <c r="J19" i="21" s="1"/>
  <c r="K19" i="21" s="1"/>
  <c r="L19" i="21" s="1"/>
  <c r="I17" i="6"/>
  <c r="J17" i="6" s="1"/>
  <c r="I18" i="27"/>
  <c r="J18" i="27" s="1"/>
  <c r="K18" i="27" s="1"/>
  <c r="L18" i="27" s="1"/>
  <c r="I13" i="6"/>
  <c r="J13" i="6" s="1"/>
  <c r="K13" i="6" s="1"/>
  <c r="L13" i="6" s="1"/>
  <c r="I14" i="6"/>
  <c r="J14" i="6" s="1"/>
  <c r="K14" i="6" s="1"/>
  <c r="L14" i="6" s="1"/>
  <c r="I15" i="6"/>
  <c r="J15" i="6" s="1"/>
  <c r="K15" i="6" s="1"/>
  <c r="L15" i="6" s="1"/>
  <c r="I16" i="6"/>
  <c r="J16" i="6" s="1"/>
  <c r="K16" i="6" s="1"/>
  <c r="L16" i="6" s="1"/>
  <c r="M16" i="6" s="1"/>
  <c r="I18" i="6"/>
  <c r="J18" i="6" s="1"/>
  <c r="P13" i="22"/>
  <c r="P14" i="22"/>
  <c r="Q14" i="22" s="1"/>
  <c r="P15" i="22"/>
  <c r="Q15" i="22" s="1"/>
  <c r="P16" i="22"/>
  <c r="P17" i="22"/>
  <c r="Q17" i="22" s="1"/>
  <c r="P18" i="22"/>
  <c r="Q18" i="22" s="1"/>
  <c r="P19" i="22"/>
  <c r="N20" i="18"/>
  <c r="P17" i="16"/>
  <c r="F18" i="6"/>
  <c r="F17" i="6"/>
  <c r="D19" i="6"/>
  <c r="H20" i="24"/>
  <c r="I17" i="16"/>
  <c r="J17" i="16" s="1"/>
  <c r="E12" i="33"/>
  <c r="L9" i="3"/>
  <c r="G22" i="5"/>
  <c r="H17" i="5"/>
  <c r="I17" i="5" s="1"/>
  <c r="F12" i="24"/>
  <c r="I12" i="24"/>
  <c r="J12" i="24" s="1"/>
  <c r="K12" i="24" s="1"/>
  <c r="L12" i="24" s="1"/>
  <c r="P12" i="24"/>
  <c r="Q12" i="24" s="1"/>
  <c r="F13" i="24"/>
  <c r="I13" i="24"/>
  <c r="P13" i="24"/>
  <c r="Q13" i="24" s="1"/>
  <c r="F14" i="24"/>
  <c r="I14" i="24"/>
  <c r="J14" i="24" s="1"/>
  <c r="K14" i="24" s="1"/>
  <c r="L14" i="24" s="1"/>
  <c r="P14" i="24"/>
  <c r="Q14" i="24" s="1"/>
  <c r="F15" i="24"/>
  <c r="I15" i="24"/>
  <c r="J15" i="24" s="1"/>
  <c r="K15" i="24" s="1"/>
  <c r="L15" i="24" s="1"/>
  <c r="P15" i="24"/>
  <c r="Q15" i="24" s="1"/>
  <c r="F16" i="24"/>
  <c r="I16" i="24"/>
  <c r="J16" i="24" s="1"/>
  <c r="K16" i="24" s="1"/>
  <c r="L16" i="24" s="1"/>
  <c r="P16" i="24"/>
  <c r="Q16" i="24" s="1"/>
  <c r="F17" i="24"/>
  <c r="I17" i="24"/>
  <c r="J17" i="24" s="1"/>
  <c r="K17" i="24" s="1"/>
  <c r="L17" i="24" s="1"/>
  <c r="P17" i="24"/>
  <c r="F18" i="24"/>
  <c r="I18" i="24"/>
  <c r="J18" i="24" s="1"/>
  <c r="K18" i="24" s="1"/>
  <c r="L18" i="24" s="1"/>
  <c r="P18" i="24"/>
  <c r="F19" i="24"/>
  <c r="I19" i="24"/>
  <c r="J19" i="24" s="1"/>
  <c r="K19" i="24" s="1"/>
  <c r="L19" i="24" s="1"/>
  <c r="M19" i="24" s="1"/>
  <c r="P19" i="24"/>
  <c r="C20" i="24"/>
  <c r="D20" i="24"/>
  <c r="F12" i="23"/>
  <c r="I12" i="23"/>
  <c r="J12" i="23" s="1"/>
  <c r="K12" i="23" s="1"/>
  <c r="L12" i="23" s="1"/>
  <c r="P12" i="23"/>
  <c r="Q12" i="23" s="1"/>
  <c r="F13" i="23"/>
  <c r="I13" i="23"/>
  <c r="P13" i="23"/>
  <c r="Q13" i="23" s="1"/>
  <c r="F14" i="23"/>
  <c r="I14" i="23"/>
  <c r="J14" i="23" s="1"/>
  <c r="K14" i="23" s="1"/>
  <c r="L14" i="23" s="1"/>
  <c r="P14" i="23"/>
  <c r="Q14" i="23" s="1"/>
  <c r="F15" i="23"/>
  <c r="I15" i="23"/>
  <c r="J15" i="23" s="1"/>
  <c r="K15" i="23" s="1"/>
  <c r="L15" i="23" s="1"/>
  <c r="P15" i="23"/>
  <c r="Q15" i="23" s="1"/>
  <c r="F16" i="23"/>
  <c r="I16" i="23"/>
  <c r="J16" i="23" s="1"/>
  <c r="K16" i="23" s="1"/>
  <c r="L16" i="23" s="1"/>
  <c r="P16" i="23"/>
  <c r="F17" i="23"/>
  <c r="I17" i="23"/>
  <c r="J17" i="23" s="1"/>
  <c r="K17" i="23" s="1"/>
  <c r="L17" i="23" s="1"/>
  <c r="P17" i="23"/>
  <c r="F18" i="23"/>
  <c r="I18" i="23"/>
  <c r="J18" i="23" s="1"/>
  <c r="K18" i="23" s="1"/>
  <c r="L18" i="23" s="1"/>
  <c r="M18" i="23" s="1"/>
  <c r="P18" i="23"/>
  <c r="F19" i="23"/>
  <c r="I19" i="23"/>
  <c r="J19" i="23" s="1"/>
  <c r="K19" i="23" s="1"/>
  <c r="L19" i="23" s="1"/>
  <c r="P19" i="23"/>
  <c r="C20" i="23"/>
  <c r="D20" i="23"/>
  <c r="F12" i="22"/>
  <c r="I12" i="22"/>
  <c r="J12" i="22" s="1"/>
  <c r="K12" i="22" s="1"/>
  <c r="L12" i="22" s="1"/>
  <c r="P12" i="22"/>
  <c r="Q12" i="22" s="1"/>
  <c r="F13" i="22"/>
  <c r="I13" i="22"/>
  <c r="J13" i="22" s="1"/>
  <c r="K13" i="22" s="1"/>
  <c r="L13" i="22" s="1"/>
  <c r="F14" i="22"/>
  <c r="I14" i="22"/>
  <c r="J14" i="22" s="1"/>
  <c r="K14" i="22" s="1"/>
  <c r="L14" i="22" s="1"/>
  <c r="F15" i="22"/>
  <c r="I15" i="22"/>
  <c r="J15" i="22" s="1"/>
  <c r="K15" i="22" s="1"/>
  <c r="L15" i="22" s="1"/>
  <c r="F16" i="22"/>
  <c r="I16" i="22"/>
  <c r="J16" i="22" s="1"/>
  <c r="K16" i="22" s="1"/>
  <c r="L16" i="22" s="1"/>
  <c r="F17" i="22"/>
  <c r="I17" i="22"/>
  <c r="J17" i="22" s="1"/>
  <c r="K17" i="22" s="1"/>
  <c r="L17" i="22" s="1"/>
  <c r="F18" i="22"/>
  <c r="I18" i="22"/>
  <c r="J18" i="22" s="1"/>
  <c r="K18" i="22" s="1"/>
  <c r="L18" i="22" s="1"/>
  <c r="F19" i="22"/>
  <c r="I19" i="22"/>
  <c r="J19" i="22" s="1"/>
  <c r="K19" i="22" s="1"/>
  <c r="L19" i="22" s="1"/>
  <c r="M19" i="22" s="1"/>
  <c r="C20" i="22"/>
  <c r="D20" i="22"/>
  <c r="F12" i="21"/>
  <c r="I12" i="21"/>
  <c r="J12" i="21" s="1"/>
  <c r="K12" i="21" s="1"/>
  <c r="L12" i="21" s="1"/>
  <c r="P12" i="21"/>
  <c r="Q12" i="21" s="1"/>
  <c r="F13" i="21"/>
  <c r="I13" i="21"/>
  <c r="J13" i="21" s="1"/>
  <c r="K13" i="21" s="1"/>
  <c r="L13" i="21" s="1"/>
  <c r="P13" i="21"/>
  <c r="Q13" i="21" s="1"/>
  <c r="F14" i="21"/>
  <c r="I14" i="21"/>
  <c r="J14" i="21" s="1"/>
  <c r="K14" i="21" s="1"/>
  <c r="L14" i="21" s="1"/>
  <c r="P14" i="21"/>
  <c r="F15" i="21"/>
  <c r="I15" i="21"/>
  <c r="J15" i="21" s="1"/>
  <c r="K15" i="21" s="1"/>
  <c r="L15" i="21" s="1"/>
  <c r="P15" i="21"/>
  <c r="Q15" i="21" s="1"/>
  <c r="F16" i="21"/>
  <c r="I16" i="21"/>
  <c r="J16" i="21" s="1"/>
  <c r="K16" i="21" s="1"/>
  <c r="L16" i="21" s="1"/>
  <c r="P16" i="21"/>
  <c r="F17" i="21"/>
  <c r="I17" i="21"/>
  <c r="J17" i="21" s="1"/>
  <c r="K17" i="21" s="1"/>
  <c r="L17" i="21" s="1"/>
  <c r="P17" i="21"/>
  <c r="Q17" i="21" s="1"/>
  <c r="F18" i="21"/>
  <c r="I18" i="21"/>
  <c r="J18" i="21" s="1"/>
  <c r="K18" i="21" s="1"/>
  <c r="L18" i="21" s="1"/>
  <c r="M18" i="21" s="1"/>
  <c r="P18" i="21"/>
  <c r="F19" i="21"/>
  <c r="P19" i="21"/>
  <c r="Q19" i="21" s="1"/>
  <c r="D20" i="21"/>
  <c r="F12" i="20"/>
  <c r="I12" i="20"/>
  <c r="P12" i="20"/>
  <c r="Q12" i="20" s="1"/>
  <c r="F13" i="20"/>
  <c r="I13" i="20"/>
  <c r="J13" i="20" s="1"/>
  <c r="K13" i="20" s="1"/>
  <c r="L13" i="20" s="1"/>
  <c r="P13" i="20"/>
  <c r="Q13" i="20" s="1"/>
  <c r="F14" i="20"/>
  <c r="I14" i="20"/>
  <c r="J14" i="20" s="1"/>
  <c r="K14" i="20" s="1"/>
  <c r="L14" i="20" s="1"/>
  <c r="P14" i="20"/>
  <c r="Q14" i="20" s="1"/>
  <c r="F15" i="20"/>
  <c r="I15" i="20"/>
  <c r="J15" i="20" s="1"/>
  <c r="K15" i="20" s="1"/>
  <c r="L15" i="20" s="1"/>
  <c r="P15" i="20"/>
  <c r="F16" i="20"/>
  <c r="I16" i="20"/>
  <c r="J16" i="20" s="1"/>
  <c r="K16" i="20" s="1"/>
  <c r="L16" i="20" s="1"/>
  <c r="P16" i="20"/>
  <c r="Q16" i="20" s="1"/>
  <c r="F17" i="20"/>
  <c r="I17" i="20"/>
  <c r="J17" i="20" s="1"/>
  <c r="K17" i="20" s="1"/>
  <c r="L17" i="20" s="1"/>
  <c r="P17" i="20"/>
  <c r="F18" i="20"/>
  <c r="I18" i="20"/>
  <c r="J18" i="20" s="1"/>
  <c r="K18" i="20" s="1"/>
  <c r="L18" i="20" s="1"/>
  <c r="P18" i="20"/>
  <c r="Q18" i="20" s="1"/>
  <c r="F19" i="20"/>
  <c r="I19" i="20"/>
  <c r="J19" i="20" s="1"/>
  <c r="K19" i="20" s="1"/>
  <c r="L19" i="20" s="1"/>
  <c r="M19" i="20" s="1"/>
  <c r="P19" i="20"/>
  <c r="F20" i="20"/>
  <c r="I20" i="20"/>
  <c r="J20" i="20" s="1"/>
  <c r="K20" i="20" s="1"/>
  <c r="L20" i="20" s="1"/>
  <c r="P20" i="20"/>
  <c r="Q20" i="20" s="1"/>
  <c r="C21" i="20"/>
  <c r="D21" i="20"/>
  <c r="F12" i="19"/>
  <c r="I12" i="19"/>
  <c r="J12" i="19" s="1"/>
  <c r="K12" i="19" s="1"/>
  <c r="L12" i="19" s="1"/>
  <c r="P12" i="19"/>
  <c r="F13" i="19"/>
  <c r="H13" i="19"/>
  <c r="I13" i="19" s="1"/>
  <c r="J13" i="19" s="1"/>
  <c r="K13" i="19" s="1"/>
  <c r="L13" i="19" s="1"/>
  <c r="P13" i="19"/>
  <c r="Q13" i="19" s="1"/>
  <c r="F14" i="19"/>
  <c r="I14" i="19"/>
  <c r="J14" i="19" s="1"/>
  <c r="K14" i="19" s="1"/>
  <c r="L14" i="19" s="1"/>
  <c r="P14" i="19"/>
  <c r="Q14" i="19" s="1"/>
  <c r="F15" i="19"/>
  <c r="I15" i="19"/>
  <c r="J15" i="19" s="1"/>
  <c r="K15" i="19" s="1"/>
  <c r="L15" i="19" s="1"/>
  <c r="P15" i="19"/>
  <c r="Q15" i="19" s="1"/>
  <c r="F16" i="19"/>
  <c r="I16" i="19"/>
  <c r="J16" i="19" s="1"/>
  <c r="K16" i="19" s="1"/>
  <c r="L16" i="19" s="1"/>
  <c r="P16" i="19"/>
  <c r="Q16" i="19" s="1"/>
  <c r="F17" i="19"/>
  <c r="I17" i="19"/>
  <c r="J17" i="19" s="1"/>
  <c r="K17" i="19" s="1"/>
  <c r="L17" i="19" s="1"/>
  <c r="P17" i="19"/>
  <c r="Q17" i="19" s="1"/>
  <c r="F18" i="19"/>
  <c r="I18" i="19"/>
  <c r="J18" i="19" s="1"/>
  <c r="K18" i="19" s="1"/>
  <c r="L18" i="19" s="1"/>
  <c r="P18" i="19"/>
  <c r="Q18" i="19" s="1"/>
  <c r="F19" i="19"/>
  <c r="I19" i="19"/>
  <c r="Q19" i="19"/>
  <c r="F20" i="19"/>
  <c r="P20" i="19"/>
  <c r="Q20" i="19" s="1"/>
  <c r="C21" i="19"/>
  <c r="D21" i="19"/>
  <c r="F12" i="18"/>
  <c r="I12" i="18"/>
  <c r="J12" i="18" s="1"/>
  <c r="K12" i="18" s="1"/>
  <c r="L12" i="18" s="1"/>
  <c r="P12" i="18"/>
  <c r="Q12" i="18" s="1"/>
  <c r="F13" i="18"/>
  <c r="I13" i="18"/>
  <c r="J13" i="18" s="1"/>
  <c r="K13" i="18" s="1"/>
  <c r="L13" i="18" s="1"/>
  <c r="P13" i="18"/>
  <c r="Q13" i="18" s="1"/>
  <c r="F14" i="18"/>
  <c r="I14" i="18"/>
  <c r="J14" i="18" s="1"/>
  <c r="K14" i="18" s="1"/>
  <c r="L14" i="18" s="1"/>
  <c r="P14" i="18"/>
  <c r="F15" i="18"/>
  <c r="I15" i="18"/>
  <c r="J15" i="18" s="1"/>
  <c r="K15" i="18" s="1"/>
  <c r="L15" i="18" s="1"/>
  <c r="P15" i="18"/>
  <c r="F16" i="18"/>
  <c r="I16" i="18"/>
  <c r="J16" i="18" s="1"/>
  <c r="K16" i="18" s="1"/>
  <c r="L16" i="18" s="1"/>
  <c r="P16" i="18"/>
  <c r="Q16" i="18" s="1"/>
  <c r="F17" i="18"/>
  <c r="I17" i="18"/>
  <c r="J17" i="18" s="1"/>
  <c r="K17" i="18" s="1"/>
  <c r="L17" i="18" s="1"/>
  <c r="P17" i="18"/>
  <c r="Q17" i="18" s="1"/>
  <c r="F18" i="18"/>
  <c r="I18" i="18"/>
  <c r="J18" i="18" s="1"/>
  <c r="K18" i="18" s="1"/>
  <c r="L18" i="18" s="1"/>
  <c r="M18" i="18" s="1"/>
  <c r="P18" i="18"/>
  <c r="F19" i="18"/>
  <c r="I19" i="18"/>
  <c r="J19" i="18" s="1"/>
  <c r="K19" i="18" s="1"/>
  <c r="L19" i="18" s="1"/>
  <c r="P19" i="18"/>
  <c r="Q19" i="18" s="1"/>
  <c r="C20" i="18"/>
  <c r="D20" i="18"/>
  <c r="F12" i="17"/>
  <c r="I12" i="17"/>
  <c r="J12" i="17" s="1"/>
  <c r="K12" i="17" s="1"/>
  <c r="L12" i="17" s="1"/>
  <c r="P12" i="17"/>
  <c r="Q12" i="17" s="1"/>
  <c r="F13" i="17"/>
  <c r="I13" i="17"/>
  <c r="P13" i="17"/>
  <c r="Q13" i="17" s="1"/>
  <c r="F14" i="17"/>
  <c r="I14" i="17"/>
  <c r="J14" i="17" s="1"/>
  <c r="K14" i="17" s="1"/>
  <c r="L14" i="17" s="1"/>
  <c r="P14" i="17"/>
  <c r="Q14" i="17" s="1"/>
  <c r="F15" i="17"/>
  <c r="I15" i="17"/>
  <c r="J15" i="17" s="1"/>
  <c r="K15" i="17" s="1"/>
  <c r="L15" i="17" s="1"/>
  <c r="P15" i="17"/>
  <c r="Q15" i="17" s="1"/>
  <c r="F16" i="17"/>
  <c r="I16" i="17"/>
  <c r="J16" i="17" s="1"/>
  <c r="K16" i="17" s="1"/>
  <c r="L16" i="17" s="1"/>
  <c r="P16" i="17"/>
  <c r="Q16" i="17" s="1"/>
  <c r="F17" i="17"/>
  <c r="I17" i="17"/>
  <c r="J17" i="17" s="1"/>
  <c r="K17" i="17" s="1"/>
  <c r="L17" i="17" s="1"/>
  <c r="P17" i="17"/>
  <c r="Q17" i="17" s="1"/>
  <c r="F18" i="17"/>
  <c r="Q18" i="17"/>
  <c r="F19" i="17"/>
  <c r="I19" i="17"/>
  <c r="J19" i="17" s="1"/>
  <c r="K19" i="17" s="1"/>
  <c r="L19" i="17" s="1"/>
  <c r="P19" i="17"/>
  <c r="Q19" i="17" s="1"/>
  <c r="C20" i="17"/>
  <c r="D20" i="17"/>
  <c r="F12" i="16"/>
  <c r="I12" i="16"/>
  <c r="J12" i="16" s="1"/>
  <c r="K12" i="16" s="1"/>
  <c r="L12" i="16" s="1"/>
  <c r="P12" i="16"/>
  <c r="Q12" i="16" s="1"/>
  <c r="F13" i="16"/>
  <c r="I13" i="16"/>
  <c r="J13" i="16" s="1"/>
  <c r="K13" i="16" s="1"/>
  <c r="L13" i="16" s="1"/>
  <c r="P13" i="16"/>
  <c r="Q13" i="16" s="1"/>
  <c r="F14" i="16"/>
  <c r="I14" i="16"/>
  <c r="J14" i="16" s="1"/>
  <c r="K14" i="16" s="1"/>
  <c r="L14" i="16" s="1"/>
  <c r="P14" i="16"/>
  <c r="Q14" i="16" s="1"/>
  <c r="F15" i="16"/>
  <c r="I15" i="16"/>
  <c r="J15" i="16" s="1"/>
  <c r="K15" i="16" s="1"/>
  <c r="L15" i="16" s="1"/>
  <c r="P15" i="16"/>
  <c r="Q15" i="16" s="1"/>
  <c r="F16" i="16"/>
  <c r="I16" i="16"/>
  <c r="J16" i="16" s="1"/>
  <c r="K16" i="16" s="1"/>
  <c r="L16" i="16" s="1"/>
  <c r="P16" i="16"/>
  <c r="Q16" i="16" s="1"/>
  <c r="F17" i="16"/>
  <c r="F18" i="16"/>
  <c r="P18" i="16"/>
  <c r="C19" i="16"/>
  <c r="F12" i="25"/>
  <c r="I12" i="25"/>
  <c r="J12" i="25" s="1"/>
  <c r="K12" i="25" s="1"/>
  <c r="L12" i="25" s="1"/>
  <c r="P12" i="25"/>
  <c r="Q12" i="25" s="1"/>
  <c r="F13" i="25"/>
  <c r="I13" i="25"/>
  <c r="J13" i="25" s="1"/>
  <c r="K13" i="25" s="1"/>
  <c r="L13" i="25" s="1"/>
  <c r="P13" i="25"/>
  <c r="Q13" i="25" s="1"/>
  <c r="F14" i="25"/>
  <c r="I14" i="25"/>
  <c r="J14" i="25" s="1"/>
  <c r="K14" i="25" s="1"/>
  <c r="L14" i="25" s="1"/>
  <c r="P14" i="25"/>
  <c r="Q14" i="25" s="1"/>
  <c r="F15" i="25"/>
  <c r="I15" i="25"/>
  <c r="J15" i="25" s="1"/>
  <c r="K15" i="25" s="1"/>
  <c r="L15" i="25" s="1"/>
  <c r="P15" i="25"/>
  <c r="Q15" i="25" s="1"/>
  <c r="F16" i="25"/>
  <c r="I16" i="25"/>
  <c r="J16" i="25" s="1"/>
  <c r="K16" i="25" s="1"/>
  <c r="L16" i="25" s="1"/>
  <c r="P16" i="25"/>
  <c r="Q16" i="25" s="1"/>
  <c r="F17" i="25"/>
  <c r="I17" i="25"/>
  <c r="J17" i="25" s="1"/>
  <c r="K17" i="25" s="1"/>
  <c r="L17" i="25" s="1"/>
  <c r="P17" i="25"/>
  <c r="Q17" i="25" s="1"/>
  <c r="F18" i="25"/>
  <c r="I18" i="25"/>
  <c r="J18" i="25" s="1"/>
  <c r="K18" i="25" s="1"/>
  <c r="L18" i="25" s="1"/>
  <c r="P18" i="25"/>
  <c r="C19" i="25"/>
  <c r="D19" i="25"/>
  <c r="F12" i="27"/>
  <c r="G12" i="27" s="1"/>
  <c r="I12" i="27"/>
  <c r="J12" i="27" s="1"/>
  <c r="K12" i="27" s="1"/>
  <c r="L12" i="27" s="1"/>
  <c r="M12" i="27" s="1"/>
  <c r="P12" i="27"/>
  <c r="F13" i="27"/>
  <c r="I13" i="27"/>
  <c r="J13" i="27" s="1"/>
  <c r="K13" i="27" s="1"/>
  <c r="L13" i="27" s="1"/>
  <c r="P13" i="27"/>
  <c r="Q13" i="27" s="1"/>
  <c r="F14" i="27"/>
  <c r="I14" i="27"/>
  <c r="J14" i="27" s="1"/>
  <c r="K14" i="27" s="1"/>
  <c r="L14" i="27" s="1"/>
  <c r="P14" i="27"/>
  <c r="Q14" i="27" s="1"/>
  <c r="F15" i="27"/>
  <c r="I15" i="27"/>
  <c r="J15" i="27" s="1"/>
  <c r="K15" i="27" s="1"/>
  <c r="L15" i="27" s="1"/>
  <c r="P15" i="27"/>
  <c r="F16" i="27"/>
  <c r="I16" i="27"/>
  <c r="J16" i="27" s="1"/>
  <c r="K16" i="27" s="1"/>
  <c r="L16" i="27" s="1"/>
  <c r="P16" i="27"/>
  <c r="Q16" i="27" s="1"/>
  <c r="F17" i="27"/>
  <c r="I17" i="27"/>
  <c r="J17" i="27" s="1"/>
  <c r="K17" i="27" s="1"/>
  <c r="L17" i="27" s="1"/>
  <c r="P17" i="27"/>
  <c r="F18" i="27"/>
  <c r="P18" i="27"/>
  <c r="C19" i="27"/>
  <c r="D19" i="27"/>
  <c r="F12" i="8"/>
  <c r="I12" i="8"/>
  <c r="J12" i="8" s="1"/>
  <c r="K12" i="8" s="1"/>
  <c r="L12" i="8" s="1"/>
  <c r="P12" i="8"/>
  <c r="Q12" i="8" s="1"/>
  <c r="F13" i="8"/>
  <c r="I13" i="8"/>
  <c r="J13" i="8" s="1"/>
  <c r="K13" i="8" s="1"/>
  <c r="L13" i="8" s="1"/>
  <c r="P13" i="8"/>
  <c r="Q13" i="8" s="1"/>
  <c r="F14" i="8"/>
  <c r="I14" i="8"/>
  <c r="J14" i="8" s="1"/>
  <c r="K14" i="8" s="1"/>
  <c r="L14" i="8" s="1"/>
  <c r="P14" i="8"/>
  <c r="F15" i="8"/>
  <c r="I15" i="8"/>
  <c r="J15" i="8" s="1"/>
  <c r="K15" i="8" s="1"/>
  <c r="L15" i="8" s="1"/>
  <c r="P15" i="8"/>
  <c r="Q15" i="8" s="1"/>
  <c r="F16" i="8"/>
  <c r="I16" i="8"/>
  <c r="J16" i="8" s="1"/>
  <c r="K16" i="8" s="1"/>
  <c r="L16" i="8" s="1"/>
  <c r="P16" i="8"/>
  <c r="Q16" i="8" s="1"/>
  <c r="F17" i="8"/>
  <c r="I17" i="8"/>
  <c r="J17" i="8" s="1"/>
  <c r="K17" i="8" s="1"/>
  <c r="L17" i="8" s="1"/>
  <c r="P17" i="8"/>
  <c r="Q17" i="8" s="1"/>
  <c r="F18" i="8"/>
  <c r="I18" i="8"/>
  <c r="J18" i="8" s="1"/>
  <c r="K18" i="8" s="1"/>
  <c r="L18" i="8" s="1"/>
  <c r="M18" i="8" s="1"/>
  <c r="P18" i="8"/>
  <c r="C19" i="8"/>
  <c r="D19" i="8"/>
  <c r="F12" i="7"/>
  <c r="I12" i="7"/>
  <c r="P12" i="7"/>
  <c r="Q12" i="7" s="1"/>
  <c r="F13" i="7"/>
  <c r="I13" i="7"/>
  <c r="J13" i="7" s="1"/>
  <c r="K13" i="7" s="1"/>
  <c r="L13" i="7" s="1"/>
  <c r="P13" i="7"/>
  <c r="F14" i="7"/>
  <c r="I14" i="7"/>
  <c r="J14" i="7" s="1"/>
  <c r="K14" i="7" s="1"/>
  <c r="L14" i="7" s="1"/>
  <c r="P14" i="7"/>
  <c r="F15" i="7"/>
  <c r="I15" i="7"/>
  <c r="J15" i="7" s="1"/>
  <c r="K15" i="7" s="1"/>
  <c r="L15" i="7" s="1"/>
  <c r="P15" i="7"/>
  <c r="Q15" i="7" s="1"/>
  <c r="F16" i="7"/>
  <c r="I16" i="7"/>
  <c r="J16" i="7" s="1"/>
  <c r="K16" i="7" s="1"/>
  <c r="L16" i="7" s="1"/>
  <c r="P16" i="7"/>
  <c r="Q16" i="7" s="1"/>
  <c r="F17" i="7"/>
  <c r="I17" i="7"/>
  <c r="J17" i="7" s="1"/>
  <c r="K17" i="7" s="1"/>
  <c r="L17" i="7" s="1"/>
  <c r="P17" i="7"/>
  <c r="Q17" i="7" s="1"/>
  <c r="F18" i="7"/>
  <c r="I18" i="7"/>
  <c r="J18" i="7" s="1"/>
  <c r="K18" i="7" s="1"/>
  <c r="L18" i="7" s="1"/>
  <c r="P18" i="7"/>
  <c r="C19" i="7"/>
  <c r="D19" i="7"/>
  <c r="F12" i="6"/>
  <c r="I12" i="6"/>
  <c r="P12" i="6"/>
  <c r="F13" i="6"/>
  <c r="P13" i="6"/>
  <c r="Q13" i="6" s="1"/>
  <c r="F14" i="6"/>
  <c r="P14" i="6"/>
  <c r="Q14" i="6" s="1"/>
  <c r="F15" i="6"/>
  <c r="P15" i="6"/>
  <c r="Q15" i="6" s="1"/>
  <c r="F16" i="6"/>
  <c r="P16" i="6"/>
  <c r="H12" i="5"/>
  <c r="E14" i="5"/>
  <c r="H14" i="5"/>
  <c r="I14" i="5" s="1"/>
  <c r="E15" i="5"/>
  <c r="H15" i="5"/>
  <c r="I15" i="5" s="1"/>
  <c r="E16" i="5"/>
  <c r="H16" i="5"/>
  <c r="I16" i="5" s="1"/>
  <c r="E17" i="5"/>
  <c r="E18" i="5"/>
  <c r="H18" i="5"/>
  <c r="I18" i="5" s="1"/>
  <c r="K19" i="5"/>
  <c r="B9" i="33"/>
  <c r="C9" i="33" s="1"/>
  <c r="D9" i="33" s="1"/>
  <c r="E9" i="33" s="1"/>
  <c r="M14" i="36"/>
  <c r="E14" i="33"/>
  <c r="E15" i="33"/>
  <c r="E16" i="33"/>
  <c r="E17" i="33"/>
  <c r="E18" i="33"/>
  <c r="E19" i="33"/>
  <c r="E20" i="33"/>
  <c r="E21" i="33"/>
  <c r="E22" i="33"/>
  <c r="E23" i="33"/>
  <c r="E24" i="33"/>
  <c r="E25" i="33"/>
  <c r="E26" i="33"/>
  <c r="E27" i="33"/>
  <c r="C9" i="3"/>
  <c r="D9" i="3" s="1"/>
  <c r="E9" i="3" s="1"/>
  <c r="F9" i="3" s="1"/>
  <c r="G9" i="3" s="1"/>
  <c r="G12" i="3"/>
  <c r="S12" i="3" s="1"/>
  <c r="S10" i="3" s="1"/>
  <c r="G19" i="3"/>
  <c r="G20" i="3"/>
  <c r="G21" i="3"/>
  <c r="G22" i="3"/>
  <c r="G23" i="3"/>
  <c r="G24" i="3"/>
  <c r="G25" i="3"/>
  <c r="G26" i="3"/>
  <c r="G27" i="3"/>
  <c r="J14" i="29"/>
  <c r="P13" i="36"/>
  <c r="P11" i="36" s="1"/>
  <c r="Q14" i="21"/>
  <c r="Q16" i="37" l="1"/>
  <c r="R16" i="37"/>
  <c r="Q19" i="24"/>
  <c r="R19" i="24"/>
  <c r="Q19" i="23"/>
  <c r="R19" i="23" s="1"/>
  <c r="S19" i="23" s="1"/>
  <c r="W19" i="23" s="1"/>
  <c r="Q18" i="23"/>
  <c r="R18" i="23" s="1"/>
  <c r="S18" i="23" s="1"/>
  <c r="W18" i="23" s="1"/>
  <c r="Q19" i="20"/>
  <c r="R19" i="20" s="1"/>
  <c r="S19" i="20" s="1"/>
  <c r="W19" i="20" s="1"/>
  <c r="W21" i="20" s="1"/>
  <c r="Q18" i="18"/>
  <c r="R18" i="18"/>
  <c r="Q17" i="16"/>
  <c r="R17" i="16" s="1"/>
  <c r="S17" i="16" s="1"/>
  <c r="W17" i="16" s="1"/>
  <c r="Q18" i="16"/>
  <c r="R18" i="16" s="1"/>
  <c r="S18" i="16" s="1"/>
  <c r="W18" i="16" s="1"/>
  <c r="Q12" i="27"/>
  <c r="R12" i="27" s="1"/>
  <c r="Q18" i="8"/>
  <c r="R18" i="8"/>
  <c r="Q18" i="7"/>
  <c r="R18" i="7"/>
  <c r="Q16" i="6"/>
  <c r="R16" i="6"/>
  <c r="Q18" i="38"/>
  <c r="R18" i="38" s="1"/>
  <c r="S18" i="38" s="1"/>
  <c r="W18" i="38" s="1"/>
  <c r="Q14" i="38"/>
  <c r="R14" i="38"/>
  <c r="Q15" i="38"/>
  <c r="R15" i="38"/>
  <c r="S15" i="38" s="1"/>
  <c r="W15" i="38" s="1"/>
  <c r="Q16" i="38"/>
  <c r="R16" i="38"/>
  <c r="S16" i="38" s="1"/>
  <c r="W16" i="38" s="1"/>
  <c r="Q13" i="38"/>
  <c r="R13" i="38"/>
  <c r="S13" i="38" s="1"/>
  <c r="W13" i="38" s="1"/>
  <c r="Q12" i="38"/>
  <c r="R12" i="38"/>
  <c r="R17" i="38"/>
  <c r="S15" i="24"/>
  <c r="W15" i="24" s="1"/>
  <c r="S15" i="6"/>
  <c r="W15" i="6" s="1"/>
  <c r="E29" i="41"/>
  <c r="S15" i="21"/>
  <c r="W15" i="21" s="1"/>
  <c r="S15" i="23"/>
  <c r="W15" i="23" s="1"/>
  <c r="H28" i="17"/>
  <c r="S14" i="16"/>
  <c r="W14" i="16" s="1"/>
  <c r="S14" i="23"/>
  <c r="W14" i="23" s="1"/>
  <c r="S13" i="19"/>
  <c r="W13" i="19" s="1"/>
  <c r="S19" i="19"/>
  <c r="W19" i="19" s="1"/>
  <c r="S19" i="17"/>
  <c r="W19" i="17" s="1"/>
  <c r="S14" i="21"/>
  <c r="W14" i="21" s="1"/>
  <c r="S17" i="22"/>
  <c r="W17" i="22" s="1"/>
  <c r="S16" i="8"/>
  <c r="W16" i="8" s="1"/>
  <c r="H17" i="41"/>
  <c r="D29" i="41"/>
  <c r="H19" i="5"/>
  <c r="S15" i="7"/>
  <c r="W15" i="7" s="1"/>
  <c r="G29" i="41"/>
  <c r="Q14" i="8"/>
  <c r="S16" i="7"/>
  <c r="W16" i="7" s="1"/>
  <c r="E19" i="5"/>
  <c r="E27" i="5" s="1"/>
  <c r="E29" i="5" s="1"/>
  <c r="Z11" i="36"/>
  <c r="C29" i="41"/>
  <c r="H10" i="41"/>
  <c r="I19" i="6"/>
  <c r="S16" i="25"/>
  <c r="W16" i="25" s="1"/>
  <c r="S15" i="16"/>
  <c r="W15" i="16" s="1"/>
  <c r="S19" i="21"/>
  <c r="W19" i="21" s="1"/>
  <c r="AA11" i="36"/>
  <c r="F27" i="41"/>
  <c r="F29" i="41" s="1"/>
  <c r="S16" i="17"/>
  <c r="W16" i="17" s="1"/>
  <c r="I20" i="17"/>
  <c r="E14" i="3"/>
  <c r="Q18" i="25"/>
  <c r="S18" i="25" s="1"/>
  <c r="W18" i="25" s="1"/>
  <c r="Q17" i="23"/>
  <c r="S17" i="23" s="1"/>
  <c r="W17" i="23" s="1"/>
  <c r="P31" i="29"/>
  <c r="D31" i="3"/>
  <c r="P31" i="3" s="1"/>
  <c r="I20" i="24"/>
  <c r="F20" i="24"/>
  <c r="Q15" i="27"/>
  <c r="S15" i="27" s="1"/>
  <c r="W15" i="27" s="1"/>
  <c r="S16" i="27"/>
  <c r="W16" i="27" s="1"/>
  <c r="I19" i="27"/>
  <c r="H20" i="41"/>
  <c r="C18" i="36"/>
  <c r="K18" i="29"/>
  <c r="C16" i="36"/>
  <c r="K16" i="29"/>
  <c r="K17" i="29"/>
  <c r="C17" i="36"/>
  <c r="G27" i="29"/>
  <c r="P27" i="29" s="1"/>
  <c r="D17" i="3"/>
  <c r="P17" i="3" s="1"/>
  <c r="G10" i="3"/>
  <c r="P20" i="18"/>
  <c r="Q20" i="18" s="1"/>
  <c r="H36" i="6"/>
  <c r="S18" i="8"/>
  <c r="W18" i="8" s="1"/>
  <c r="W19" i="8" s="1"/>
  <c r="S17" i="8"/>
  <c r="W17" i="8" s="1"/>
  <c r="S18" i="7"/>
  <c r="W18" i="7" s="1"/>
  <c r="W19" i="7" s="1"/>
  <c r="J13" i="24"/>
  <c r="K13" i="24" s="1"/>
  <c r="L13" i="24" s="1"/>
  <c r="S13" i="24" s="1"/>
  <c r="W13" i="24" s="1"/>
  <c r="S19" i="24"/>
  <c r="W19" i="24" s="1"/>
  <c r="W20" i="24" s="1"/>
  <c r="I20" i="23"/>
  <c r="F19" i="38"/>
  <c r="I21" i="20"/>
  <c r="S20" i="20"/>
  <c r="W20" i="20" s="1"/>
  <c r="I20" i="21"/>
  <c r="I20" i="18"/>
  <c r="J13" i="17"/>
  <c r="K13" i="17" s="1"/>
  <c r="L13" i="17" s="1"/>
  <c r="I19" i="16"/>
  <c r="G26" i="16"/>
  <c r="K25" i="29"/>
  <c r="P25" i="29"/>
  <c r="K23" i="29"/>
  <c r="P23" i="29"/>
  <c r="D23" i="3"/>
  <c r="P23" i="3" s="1"/>
  <c r="K22" i="29"/>
  <c r="P22" i="29"/>
  <c r="C19" i="36"/>
  <c r="K31" i="29"/>
  <c r="D16" i="3"/>
  <c r="P16" i="3" s="1"/>
  <c r="P16" i="29"/>
  <c r="Q13" i="7"/>
  <c r="S13" i="7" s="1"/>
  <c r="W13" i="7" s="1"/>
  <c r="P15" i="29"/>
  <c r="S17" i="7"/>
  <c r="W17" i="7" s="1"/>
  <c r="I19" i="7"/>
  <c r="K24" i="29"/>
  <c r="P24" i="29"/>
  <c r="D21" i="3"/>
  <c r="P21" i="3" s="1"/>
  <c r="P21" i="29"/>
  <c r="D18" i="3"/>
  <c r="P18" i="3" s="1"/>
  <c r="P18" i="29"/>
  <c r="Q17" i="38"/>
  <c r="S16" i="24"/>
  <c r="W16" i="24" s="1"/>
  <c r="F20" i="23"/>
  <c r="S18" i="22"/>
  <c r="W18" i="22" s="1"/>
  <c r="F20" i="22"/>
  <c r="F20" i="21"/>
  <c r="F21" i="20"/>
  <c r="F21" i="19"/>
  <c r="S17" i="18"/>
  <c r="W17" i="18" s="1"/>
  <c r="S13" i="18"/>
  <c r="W13" i="18" s="1"/>
  <c r="F20" i="18"/>
  <c r="F20" i="17"/>
  <c r="F19" i="16"/>
  <c r="S13" i="16"/>
  <c r="W13" i="16" s="1"/>
  <c r="S15" i="37"/>
  <c r="W15" i="37" s="1"/>
  <c r="S14" i="37"/>
  <c r="W14" i="37" s="1"/>
  <c r="S13" i="37"/>
  <c r="W13" i="37" s="1"/>
  <c r="I18" i="37"/>
  <c r="F18" i="37"/>
  <c r="H25" i="37"/>
  <c r="I19" i="38"/>
  <c r="F19" i="25"/>
  <c r="F19" i="27"/>
  <c r="F19" i="8"/>
  <c r="F19" i="7"/>
  <c r="S13" i="6"/>
  <c r="W13" i="6" s="1"/>
  <c r="F19" i="6"/>
  <c r="E10" i="33"/>
  <c r="M20" i="18"/>
  <c r="L20" i="18"/>
  <c r="S14" i="25"/>
  <c r="W14" i="25" s="1"/>
  <c r="S16" i="18"/>
  <c r="W16" i="18" s="1"/>
  <c r="L19" i="16"/>
  <c r="M19" i="16"/>
  <c r="S13" i="25"/>
  <c r="W13" i="25" s="1"/>
  <c r="M19" i="8"/>
  <c r="L19" i="8"/>
  <c r="G19" i="27"/>
  <c r="G20" i="27" s="1"/>
  <c r="S17" i="37"/>
  <c r="W17" i="37" s="1"/>
  <c r="G20" i="17"/>
  <c r="S13" i="20"/>
  <c r="W13" i="20" s="1"/>
  <c r="C20" i="36"/>
  <c r="S14" i="17"/>
  <c r="W14" i="17" s="1"/>
  <c r="M19" i="27"/>
  <c r="L19" i="27"/>
  <c r="S16" i="19"/>
  <c r="W16" i="19" s="1"/>
  <c r="D19" i="3"/>
  <c r="P19" i="3" s="1"/>
  <c r="C21" i="36"/>
  <c r="K19" i="29"/>
  <c r="S12" i="37"/>
  <c r="W12" i="37" s="1"/>
  <c r="K20" i="29"/>
  <c r="C22" i="36"/>
  <c r="D20" i="3"/>
  <c r="P20" i="3" s="1"/>
  <c r="S15" i="19"/>
  <c r="W15" i="19" s="1"/>
  <c r="G19" i="6"/>
  <c r="E27" i="6" s="1"/>
  <c r="S18" i="18"/>
  <c r="W18" i="18" s="1"/>
  <c r="W20" i="18" s="1"/>
  <c r="L20" i="22"/>
  <c r="M20" i="22"/>
  <c r="L19" i="38"/>
  <c r="L19" i="25"/>
  <c r="M19" i="25"/>
  <c r="L20" i="21"/>
  <c r="M20" i="21"/>
  <c r="S16" i="16"/>
  <c r="W16" i="16" s="1"/>
  <c r="S17" i="17"/>
  <c r="W17" i="17" s="1"/>
  <c r="G20" i="24"/>
  <c r="S17" i="19"/>
  <c r="W17" i="19" s="1"/>
  <c r="S18" i="17"/>
  <c r="W18" i="17" s="1"/>
  <c r="S19" i="18"/>
  <c r="W19" i="18" s="1"/>
  <c r="S16" i="20"/>
  <c r="W16" i="20" s="1"/>
  <c r="S14" i="24"/>
  <c r="W14" i="24" s="1"/>
  <c r="L21" i="19"/>
  <c r="L18" i="37"/>
  <c r="M18" i="37"/>
  <c r="S13" i="8"/>
  <c r="W13" i="8" s="1"/>
  <c r="S15" i="8"/>
  <c r="W15" i="8" s="1"/>
  <c r="S15" i="25"/>
  <c r="W15" i="25" s="1"/>
  <c r="I21" i="19"/>
  <c r="K14" i="29"/>
  <c r="D14" i="3"/>
  <c r="P14" i="3" s="1"/>
  <c r="C14" i="36"/>
  <c r="S17" i="25"/>
  <c r="W17" i="25" s="1"/>
  <c r="S13" i="27"/>
  <c r="W13" i="27" s="1"/>
  <c r="S17" i="21"/>
  <c r="W17" i="21" s="1"/>
  <c r="D15" i="3"/>
  <c r="P15" i="3" s="1"/>
  <c r="K15" i="29"/>
  <c r="C15" i="36"/>
  <c r="D26" i="3"/>
  <c r="P26" i="3" s="1"/>
  <c r="C28" i="36"/>
  <c r="K26" i="29"/>
  <c r="Q13" i="22"/>
  <c r="G20" i="23"/>
  <c r="Q12" i="6"/>
  <c r="S20" i="19"/>
  <c r="W20" i="19" s="1"/>
  <c r="C23" i="36"/>
  <c r="J12" i="7"/>
  <c r="K12" i="7" s="1"/>
  <c r="L12" i="7" s="1"/>
  <c r="S14" i="27"/>
  <c r="W14" i="27" s="1"/>
  <c r="D25" i="3"/>
  <c r="P25" i="3" s="1"/>
  <c r="G19" i="8"/>
  <c r="G20" i="8" s="1"/>
  <c r="I19" i="25"/>
  <c r="K21" i="29"/>
  <c r="G21" i="20"/>
  <c r="J12" i="20"/>
  <c r="K12" i="20" s="1"/>
  <c r="L12" i="20" s="1"/>
  <c r="I20" i="22"/>
  <c r="Q18" i="27"/>
  <c r="D12" i="3"/>
  <c r="P12" i="3" s="1"/>
  <c r="I19" i="8"/>
  <c r="G21" i="19"/>
  <c r="Q15" i="18"/>
  <c r="S15" i="18" s="1"/>
  <c r="W15" i="18" s="1"/>
  <c r="Q16" i="23"/>
  <c r="J13" i="23"/>
  <c r="K13" i="23" s="1"/>
  <c r="L13" i="23" s="1"/>
  <c r="S13" i="23" s="1"/>
  <c r="W13" i="23" s="1"/>
  <c r="Q17" i="24"/>
  <c r="S17" i="24" s="1"/>
  <c r="W17" i="24" s="1"/>
  <c r="J13" i="29"/>
  <c r="J11" i="29" s="1"/>
  <c r="S18" i="20"/>
  <c r="W18" i="20" s="1"/>
  <c r="S14" i="20"/>
  <c r="W14" i="20" s="1"/>
  <c r="J12" i="6"/>
  <c r="K12" i="6" s="1"/>
  <c r="L12" i="6" s="1"/>
  <c r="D24" i="3"/>
  <c r="P24" i="3" s="1"/>
  <c r="I19" i="5"/>
  <c r="Q18" i="24"/>
  <c r="S18" i="24" s="1"/>
  <c r="W18" i="24" s="1"/>
  <c r="Q15" i="20"/>
  <c r="S15" i="20" s="1"/>
  <c r="W15" i="20" s="1"/>
  <c r="Q14" i="7"/>
  <c r="S14" i="7" s="1"/>
  <c r="W14" i="7" s="1"/>
  <c r="Q16" i="21"/>
  <c r="Q18" i="21"/>
  <c r="S14" i="22"/>
  <c r="W14" i="22" s="1"/>
  <c r="S14" i="6"/>
  <c r="W14" i="6" s="1"/>
  <c r="C26" i="36"/>
  <c r="M21" i="19"/>
  <c r="S18" i="19"/>
  <c r="W18" i="19" s="1"/>
  <c r="Q17" i="27"/>
  <c r="S17" i="27" s="1"/>
  <c r="W17" i="27" s="1"/>
  <c r="Q12" i="19"/>
  <c r="Q17" i="20"/>
  <c r="S17" i="20" s="1"/>
  <c r="W17" i="20" s="1"/>
  <c r="G18" i="37"/>
  <c r="E31" i="3" s="1"/>
  <c r="Q31" i="3" s="1"/>
  <c r="C25" i="36"/>
  <c r="G20" i="22"/>
  <c r="C24" i="36"/>
  <c r="Q16" i="22"/>
  <c r="S16" i="22" s="1"/>
  <c r="W16" i="22" s="1"/>
  <c r="S13" i="21"/>
  <c r="W13" i="21" s="1"/>
  <c r="S16" i="6"/>
  <c r="W16" i="6" s="1"/>
  <c r="W19" i="6" s="1"/>
  <c r="S15" i="22"/>
  <c r="W15" i="22" s="1"/>
  <c r="Q14" i="18"/>
  <c r="Q19" i="22"/>
  <c r="M11" i="36"/>
  <c r="C13" i="36"/>
  <c r="W20" i="23" l="1"/>
  <c r="R19" i="22"/>
  <c r="S19" i="22" s="1"/>
  <c r="W19" i="22" s="1"/>
  <c r="W20" i="22" s="1"/>
  <c r="R18" i="21"/>
  <c r="S18" i="21" s="1"/>
  <c r="W18" i="21" s="1"/>
  <c r="W20" i="21" s="1"/>
  <c r="W19" i="16"/>
  <c r="R18" i="27"/>
  <c r="S18" i="27" s="1"/>
  <c r="W18" i="27" s="1"/>
  <c r="S17" i="38"/>
  <c r="W17" i="38" s="1"/>
  <c r="K27" i="29"/>
  <c r="K11" i="29" s="1"/>
  <c r="C29" i="36"/>
  <c r="D27" i="3"/>
  <c r="P27" i="3" s="1"/>
  <c r="P10" i="3" s="1"/>
  <c r="R19" i="6"/>
  <c r="R19" i="8"/>
  <c r="S14" i="8"/>
  <c r="W14" i="8" s="1"/>
  <c r="H27" i="41"/>
  <c r="H29" i="41" s="1"/>
  <c r="S13" i="17"/>
  <c r="W13" i="17" s="1"/>
  <c r="R20" i="17"/>
  <c r="R19" i="25"/>
  <c r="M20" i="17"/>
  <c r="L20" i="17"/>
  <c r="G11" i="29"/>
  <c r="L20" i="24"/>
  <c r="R20" i="23"/>
  <c r="S12" i="27"/>
  <c r="W12" i="27" s="1"/>
  <c r="S11" i="37"/>
  <c r="W11" i="37" s="1"/>
  <c r="R18" i="37"/>
  <c r="S18" i="37" s="1"/>
  <c r="D10" i="3"/>
  <c r="L20" i="23"/>
  <c r="M20" i="23"/>
  <c r="R19" i="16"/>
  <c r="P11" i="29"/>
  <c r="R19" i="38"/>
  <c r="S19" i="38" s="1"/>
  <c r="R20" i="22"/>
  <c r="S16" i="37"/>
  <c r="W16" i="37" s="1"/>
  <c r="W18" i="37" s="1"/>
  <c r="R21" i="19"/>
  <c r="S12" i="19"/>
  <c r="W12" i="19" s="1"/>
  <c r="R20" i="18"/>
  <c r="S16" i="21"/>
  <c r="W16" i="21" s="1"/>
  <c r="R20" i="21"/>
  <c r="S12" i="38"/>
  <c r="W12" i="38" s="1"/>
  <c r="W19" i="38" s="1"/>
  <c r="M19" i="38"/>
  <c r="F17" i="36"/>
  <c r="E17" i="3"/>
  <c r="Q17" i="3" s="1"/>
  <c r="G20" i="18"/>
  <c r="S12" i="18"/>
  <c r="W12" i="18" s="1"/>
  <c r="L21" i="20"/>
  <c r="R21" i="20"/>
  <c r="I16" i="36"/>
  <c r="G19" i="7"/>
  <c r="S13" i="22"/>
  <c r="W13" i="22" s="1"/>
  <c r="L19" i="6"/>
  <c r="M20" i="24"/>
  <c r="S12" i="24"/>
  <c r="W12" i="24" s="1"/>
  <c r="F29" i="36"/>
  <c r="E27" i="3"/>
  <c r="Q27" i="3" s="1"/>
  <c r="C11" i="36"/>
  <c r="S15" i="17"/>
  <c r="W15" i="17" s="1"/>
  <c r="F24" i="36"/>
  <c r="E22" i="3"/>
  <c r="Q22" i="3" s="1"/>
  <c r="F20" i="36"/>
  <c r="F28" i="36"/>
  <c r="E26" i="3"/>
  <c r="Q26" i="3" s="1"/>
  <c r="S12" i="23"/>
  <c r="W12" i="23" s="1"/>
  <c r="R20" i="24"/>
  <c r="S20" i="24" s="1"/>
  <c r="M19" i="7"/>
  <c r="L19" i="7"/>
  <c r="E12" i="3"/>
  <c r="Q12" i="3" s="1"/>
  <c r="F13" i="36"/>
  <c r="S12" i="21"/>
  <c r="W12" i="21" s="1"/>
  <c r="G20" i="21"/>
  <c r="S14" i="18"/>
  <c r="W14" i="18" s="1"/>
  <c r="S16" i="23"/>
  <c r="W16" i="23" s="1"/>
  <c r="J19" i="5"/>
  <c r="G19" i="38"/>
  <c r="E28" i="3" s="1"/>
  <c r="Q28" i="3" s="1"/>
  <c r="S14" i="38"/>
  <c r="W14" i="38" s="1"/>
  <c r="F16" i="36"/>
  <c r="Q16" i="3"/>
  <c r="R19" i="7"/>
  <c r="S12" i="17"/>
  <c r="W12" i="17" s="1"/>
  <c r="S12" i="8"/>
  <c r="W12" i="8" s="1"/>
  <c r="S12" i="16"/>
  <c r="W12" i="16" s="1"/>
  <c r="G19" i="16"/>
  <c r="G20" i="16" s="1"/>
  <c r="F27" i="36"/>
  <c r="E25" i="3"/>
  <c r="Q25" i="3" s="1"/>
  <c r="S12" i="25"/>
  <c r="W12" i="25" s="1"/>
  <c r="G19" i="25"/>
  <c r="S14" i="19"/>
  <c r="W14" i="19" s="1"/>
  <c r="F22" i="36"/>
  <c r="E20" i="3"/>
  <c r="Q20" i="3" s="1"/>
  <c r="E23" i="3"/>
  <c r="Q23" i="3" s="1"/>
  <c r="F25" i="36"/>
  <c r="F19" i="36"/>
  <c r="S12" i="22"/>
  <c r="W12" i="22" s="1"/>
  <c r="R21" i="23" l="1"/>
  <c r="S20" i="23"/>
  <c r="R21" i="22"/>
  <c r="S20" i="22"/>
  <c r="R21" i="21"/>
  <c r="S20" i="21"/>
  <c r="R21" i="18"/>
  <c r="S20" i="18"/>
  <c r="S19" i="16"/>
  <c r="R20" i="16"/>
  <c r="W19" i="27"/>
  <c r="R19" i="27"/>
  <c r="R20" i="27" s="1"/>
  <c r="S19" i="27"/>
  <c r="R16" i="3"/>
  <c r="Y16" i="3" s="1"/>
  <c r="S19" i="8"/>
  <c r="R20" i="8"/>
  <c r="R20" i="7"/>
  <c r="S19" i="7"/>
  <c r="F31" i="3"/>
  <c r="S12" i="7"/>
  <c r="W12" i="7" s="1"/>
  <c r="F20" i="3"/>
  <c r="F26" i="3"/>
  <c r="F28" i="3"/>
  <c r="I27" i="36"/>
  <c r="L27" i="36" s="1"/>
  <c r="L16" i="36"/>
  <c r="F21" i="36"/>
  <c r="E19" i="3"/>
  <c r="Q19" i="3" s="1"/>
  <c r="F23" i="36"/>
  <c r="E21" i="3"/>
  <c r="Q21" i="3" s="1"/>
  <c r="F12" i="3"/>
  <c r="R12" i="3" s="1"/>
  <c r="I13" i="36"/>
  <c r="E18" i="3"/>
  <c r="Q18" i="3" s="1"/>
  <c r="F18" i="36"/>
  <c r="F26" i="36"/>
  <c r="E24" i="3"/>
  <c r="Q24" i="3" s="1"/>
  <c r="M21" i="20"/>
  <c r="S21" i="20" s="1"/>
  <c r="S12" i="20"/>
  <c r="W12" i="20" s="1"/>
  <c r="I16" i="3"/>
  <c r="L16" i="3" s="1"/>
  <c r="I18" i="36"/>
  <c r="F18" i="3"/>
  <c r="R18" i="3" s="1"/>
  <c r="F15" i="36"/>
  <c r="E15" i="3"/>
  <c r="Q15" i="3" s="1"/>
  <c r="Y16" i="36"/>
  <c r="I32" i="3"/>
  <c r="L32" i="3" s="1"/>
  <c r="I29" i="3"/>
  <c r="L29" i="3" s="1"/>
  <c r="I21" i="36"/>
  <c r="F19" i="3"/>
  <c r="R19" i="3" s="1"/>
  <c r="M19" i="6"/>
  <c r="R20" i="6" s="1"/>
  <c r="S12" i="6"/>
  <c r="W12" i="6" s="1"/>
  <c r="R22" i="20" l="1"/>
  <c r="U16" i="3"/>
  <c r="X16" i="3" s="1"/>
  <c r="S19" i="6"/>
  <c r="Y12" i="3"/>
  <c r="U12" i="3"/>
  <c r="X12" i="3" s="1"/>
  <c r="Y18" i="3"/>
  <c r="U18" i="3"/>
  <c r="X18" i="3" s="1"/>
  <c r="Y19" i="3"/>
  <c r="U19" i="3"/>
  <c r="X19" i="3" s="1"/>
  <c r="I20" i="3"/>
  <c r="L20" i="3" s="1"/>
  <c r="R20" i="3"/>
  <c r="I28" i="3"/>
  <c r="L28" i="3" s="1"/>
  <c r="R28" i="3"/>
  <c r="I31" i="3"/>
  <c r="L31" i="3" s="1"/>
  <c r="R31" i="3"/>
  <c r="I26" i="3"/>
  <c r="L26" i="3" s="1"/>
  <c r="R26" i="3"/>
  <c r="Q10" i="3"/>
  <c r="F25" i="3"/>
  <c r="I22" i="36"/>
  <c r="L22" i="36" s="1"/>
  <c r="I28" i="36"/>
  <c r="L28" i="36" s="1"/>
  <c r="I19" i="36"/>
  <c r="L19" i="36" s="1"/>
  <c r="Y18" i="36"/>
  <c r="E10" i="3"/>
  <c r="Y28" i="36"/>
  <c r="Y27" i="36"/>
  <c r="I18" i="3"/>
  <c r="L18" i="3" s="1"/>
  <c r="L21" i="36"/>
  <c r="I12" i="3"/>
  <c r="F17" i="3"/>
  <c r="I17" i="36"/>
  <c r="F15" i="3"/>
  <c r="I15" i="36"/>
  <c r="L15" i="36" s="1"/>
  <c r="F27" i="3"/>
  <c r="I29" i="36"/>
  <c r="L13" i="36"/>
  <c r="Y13" i="36"/>
  <c r="Y11" i="36" s="1"/>
  <c r="Y21" i="36"/>
  <c r="F21" i="3"/>
  <c r="I23" i="36"/>
  <c r="F11" i="36"/>
  <c r="F24" i="3"/>
  <c r="I26" i="36"/>
  <c r="L26" i="36" s="1"/>
  <c r="I19" i="3"/>
  <c r="L19" i="3" s="1"/>
  <c r="E28" i="6"/>
  <c r="E30" i="6" s="1"/>
  <c r="L18" i="36"/>
  <c r="F22" i="3"/>
  <c r="I24" i="36"/>
  <c r="I15" i="3" l="1"/>
  <c r="L15" i="3" s="1"/>
  <c r="R15" i="3"/>
  <c r="U20" i="3"/>
  <c r="X20" i="3" s="1"/>
  <c r="Y20" i="3"/>
  <c r="Y22" i="36"/>
  <c r="Y28" i="3"/>
  <c r="U28" i="3"/>
  <c r="X28" i="3" s="1"/>
  <c r="Y31" i="3"/>
  <c r="U31" i="3"/>
  <c r="X31" i="3" s="1"/>
  <c r="I27" i="3"/>
  <c r="L27" i="3" s="1"/>
  <c r="R27" i="3"/>
  <c r="Y26" i="3"/>
  <c r="U26" i="3"/>
  <c r="X26" i="3" s="1"/>
  <c r="I25" i="3"/>
  <c r="L25" i="3" s="1"/>
  <c r="R25" i="3"/>
  <c r="I24" i="3"/>
  <c r="L24" i="3" s="1"/>
  <c r="R24" i="3"/>
  <c r="I22" i="3"/>
  <c r="L22" i="3" s="1"/>
  <c r="R22" i="3"/>
  <c r="I21" i="3"/>
  <c r="L21" i="3" s="1"/>
  <c r="R21" i="3"/>
  <c r="I17" i="3"/>
  <c r="L17" i="3" s="1"/>
  <c r="R17" i="3"/>
  <c r="Y19" i="36"/>
  <c r="L12" i="3"/>
  <c r="Y15" i="36"/>
  <c r="I14" i="36"/>
  <c r="F14" i="3"/>
  <c r="R14" i="3" s="1"/>
  <c r="Y23" i="36"/>
  <c r="L23" i="36"/>
  <c r="F23" i="3"/>
  <c r="I25" i="36"/>
  <c r="I20" i="36"/>
  <c r="L24" i="36"/>
  <c r="Y24" i="36"/>
  <c r="L29" i="36"/>
  <c r="Y29" i="36"/>
  <c r="Y26" i="36"/>
  <c r="L17" i="36"/>
  <c r="Y17" i="36"/>
  <c r="Y14" i="3" l="1"/>
  <c r="U14" i="3"/>
  <c r="X14" i="3" s="1"/>
  <c r="Y15" i="3"/>
  <c r="U15" i="3"/>
  <c r="X15" i="3" s="1"/>
  <c r="Y27" i="3"/>
  <c r="U27" i="3"/>
  <c r="X27" i="3" s="1"/>
  <c r="U25" i="3"/>
  <c r="X25" i="3" s="1"/>
  <c r="Y25" i="3"/>
  <c r="U24" i="3"/>
  <c r="X24" i="3" s="1"/>
  <c r="Y24" i="3"/>
  <c r="I23" i="3"/>
  <c r="L23" i="3" s="1"/>
  <c r="R23" i="3"/>
  <c r="R10" i="3" s="1"/>
  <c r="Y22" i="3"/>
  <c r="U22" i="3"/>
  <c r="X22" i="3" s="1"/>
  <c r="U21" i="3"/>
  <c r="X21" i="3" s="1"/>
  <c r="Y21" i="3"/>
  <c r="Y17" i="3"/>
  <c r="U17" i="3"/>
  <c r="F10" i="3"/>
  <c r="L20" i="36"/>
  <c r="Y20" i="36"/>
  <c r="I14" i="3"/>
  <c r="L25" i="36"/>
  <c r="Y25" i="36"/>
  <c r="L14" i="36"/>
  <c r="Y14" i="36"/>
  <c r="I11" i="36"/>
  <c r="U23" i="3" l="1"/>
  <c r="X23" i="3" s="1"/>
  <c r="Y23" i="3"/>
  <c r="Y10" i="3" s="1"/>
  <c r="X17" i="3"/>
  <c r="X10" i="3" s="1"/>
  <c r="U10" i="3"/>
  <c r="L14" i="3"/>
  <c r="L10" i="3" s="1"/>
  <c r="I10" i="3"/>
</calcChain>
</file>

<file path=xl/comments1.xml><?xml version="1.0" encoding="utf-8"?>
<comments xmlns="http://schemas.openxmlformats.org/spreadsheetml/2006/main">
  <authors>
    <author>Author</author>
  </authors>
  <commentList>
    <comment ref="K8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Gnumneri anvanacankum @ndgrkvac che</t>
        </r>
      </text>
    </comment>
    <comment ref="W8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Gnumneri anvanacankum @ndgrkvac che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4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-6 արխիվապահ, նստում են կարգադրիչների հետ Բաշինջաղյան 100
</t>
        </r>
      </text>
    </comment>
    <comment ref="G4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+6 արխիվապահ ԴԴ-ից, նստում են կարգադրիչների հետ Բաշինջաղյան 100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V8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Gnumneri anvanacankum @ndgrkvac che</t>
        </r>
      </text>
    </comment>
  </commentList>
</comments>
</file>

<file path=xl/sharedStrings.xml><?xml version="1.0" encoding="utf-8"?>
<sst xmlns="http://schemas.openxmlformats.org/spreadsheetml/2006/main" count="1589" uniqueCount="223">
  <si>
    <t>N</t>
  </si>
  <si>
    <t>S+20%</t>
  </si>
  <si>
    <t>B</t>
  </si>
  <si>
    <t>C</t>
  </si>
  <si>
    <t>D</t>
  </si>
  <si>
    <t>I</t>
  </si>
  <si>
    <t>J</t>
  </si>
  <si>
    <t>Q</t>
  </si>
  <si>
    <t>R</t>
  </si>
  <si>
    <t>S</t>
  </si>
  <si>
    <t>T</t>
  </si>
  <si>
    <t>U</t>
  </si>
  <si>
    <t>X</t>
  </si>
  <si>
    <t>V</t>
  </si>
  <si>
    <t>O</t>
  </si>
  <si>
    <t>K</t>
  </si>
  <si>
    <t>H</t>
  </si>
  <si>
    <t>G</t>
  </si>
  <si>
    <t>F</t>
  </si>
  <si>
    <t>E</t>
  </si>
  <si>
    <t>L</t>
  </si>
  <si>
    <t>Կառավարման  ապարատ</t>
  </si>
  <si>
    <t>Հ Ա Շ Վ Ա Ր Կ</t>
  </si>
  <si>
    <t>Փոստային կապի ծառայություններ</t>
  </si>
  <si>
    <t>Ընդամենը</t>
  </si>
  <si>
    <t>Ձև N 6</t>
  </si>
  <si>
    <t>Ընդհանուր օգտագործման քաղաքային հեռախոսացանցի ծառայություններ</t>
  </si>
  <si>
    <t>Ընդհանուր օգտագործման միջքաղաքային հեռախոսացանցի ծառայություններ</t>
  </si>
  <si>
    <t>Առանձնացված ցանցի կապի գործնական սպասարկման ծառայություններ</t>
  </si>
  <si>
    <t>"Ինտերնետ" ցանցի մուտքի ապահովման ծառայություններ</t>
  </si>
  <si>
    <t>Տվյալների մուտքի ծառայություններ</t>
  </si>
  <si>
    <t>Հ/Հ</t>
  </si>
  <si>
    <t>Դատական դեպարտամենտ</t>
  </si>
  <si>
    <t>Վճռաբեկ դատարան</t>
  </si>
  <si>
    <t>Վերաքննիչ քաղաքացիական դատարան</t>
  </si>
  <si>
    <t>Վերաքննիչ քրեական դատարան</t>
  </si>
  <si>
    <t>Վարչական վերաքննիչ դատարան</t>
  </si>
  <si>
    <t>Վարչական դատարան</t>
  </si>
  <si>
    <t>Դատական կարգադրիչների ծառայություն</t>
  </si>
  <si>
    <t>Արագածոտնի մարզի ընդհանուր իրավասության դատարան</t>
  </si>
  <si>
    <t>Արարատի և Վայոց Ձորի մարզերի ընդհանուր իրավասության դատարան</t>
  </si>
  <si>
    <t>Արմավիրի մարզի ընդհանուր իրավասության դատարան</t>
  </si>
  <si>
    <t>Գեղարքունիքի մարզի ընդհանուր իրավասության դատարան</t>
  </si>
  <si>
    <t>Լոռու մարզի ընդհանուր իրավասության դատարան</t>
  </si>
  <si>
    <t>Կոտայքի մարզի ընդհանուր իրավասության դատարան</t>
  </si>
  <si>
    <t xml:space="preserve">Շիրակի մարզի ընդհանուր իրավասության դատարան </t>
  </si>
  <si>
    <t>Տավուշի մարզի ընդհանուր իրավասության դատարան</t>
  </si>
  <si>
    <t>Ձև N 7</t>
  </si>
  <si>
    <t>Դատական իշխանության մարմնի անվանումը</t>
  </si>
  <si>
    <t>տարբերություն</t>
  </si>
  <si>
    <t>Այդ թվում`</t>
  </si>
  <si>
    <t xml:space="preserve">Ընդամենը </t>
  </si>
  <si>
    <t xml:space="preserve">Սյունիքի մարզի ընդհանուր իրավասության դատարան </t>
  </si>
  <si>
    <t>ԸՆԴՀԱՆՈՒՐ ՀԱՇՎԱՐԿ</t>
  </si>
  <si>
    <t>Հաստիքի անվանումը</t>
  </si>
  <si>
    <t xml:space="preserve">Հաստ.միավ.թիվը </t>
  </si>
  <si>
    <t>Բաժանորդային վարձ</t>
  </si>
  <si>
    <t xml:space="preserve">Սահմանված րոպե </t>
  </si>
  <si>
    <t>միջքաղ., միջազգայ. հեռ.համար</t>
  </si>
  <si>
    <t>հեռ. քան</t>
  </si>
  <si>
    <t>ամս. բաժ.  վճար</t>
  </si>
  <si>
    <t>հասանելիք րոպե</t>
  </si>
  <si>
    <t>Ընդանուր I*D</t>
  </si>
  <si>
    <t>միջքաղ.և բջջ.ցանց, միավ.</t>
  </si>
  <si>
    <t>միջազգային,միավոր</t>
  </si>
  <si>
    <t xml:space="preserve">Հայտատուի  անվանումը </t>
  </si>
  <si>
    <t>Դատարանի նախագահ</t>
  </si>
  <si>
    <t>Դատավոր հիմնական շեն.</t>
  </si>
  <si>
    <t>Աշխատակազմի ղեկավար</t>
  </si>
  <si>
    <t>Գրասենյակի պետ</t>
  </si>
  <si>
    <t>Գլխավոր հաշվապահ</t>
  </si>
  <si>
    <t>Դատական հիմն.շենքից դուրս գրասենյակ</t>
  </si>
  <si>
    <t>Պահպանման անձն.</t>
  </si>
  <si>
    <t>Այլ Հաստիքներ</t>
  </si>
  <si>
    <t>գործերի
քանակը</t>
  </si>
  <si>
    <t>մեկ գործի համար ուղարկվող 
փաստաթղթերի 
քանակը</t>
  </si>
  <si>
    <t>ուղարկվող մեկ փաստաթղթի 
միջին արժեքը</t>
  </si>
  <si>
    <t>մեկ գործի արժեքը</t>
  </si>
  <si>
    <t>Ընդամենը տարեկան 
 ծախսեր</t>
  </si>
  <si>
    <t>գործերի
քանակը (ս3-ս8)</t>
  </si>
  <si>
    <t>Ընդամենը տարեկան 
 ծախսեր (ս7-ս9)</t>
  </si>
  <si>
    <t xml:space="preserve">Դատավորներ </t>
  </si>
  <si>
    <t>Աշխատակազմի ղեկավ.</t>
  </si>
  <si>
    <t>Պահպ.անձնակազմ</t>
  </si>
  <si>
    <t>Այլ հաստիքներ</t>
  </si>
  <si>
    <t xml:space="preserve"> </t>
  </si>
  <si>
    <t>Պալատի դատավոր</t>
  </si>
  <si>
    <t>Պալատի նախագահ</t>
  </si>
  <si>
    <t>Դատավոր հիմնական շենքից դուրս</t>
  </si>
  <si>
    <t>Դատավորներ</t>
  </si>
  <si>
    <t>ՀՀ վերաքննիչ քրեական դատարան</t>
  </si>
  <si>
    <t>ՀՀ վարչական դատարան</t>
  </si>
  <si>
    <t>ՀՀ վերաքննիչ քաղաքացիական դատարան</t>
  </si>
  <si>
    <t>ՀՀ վճռաբեկ դատարան</t>
  </si>
  <si>
    <t>Հաստիքը կամ ստորաբաժանումը</t>
  </si>
  <si>
    <t>Բաժնի պետ, ծառայության պետ</t>
  </si>
  <si>
    <t>Վերը նշվ-ից հաս. բացի այլ լր. հաստ.</t>
  </si>
  <si>
    <t>Սահմանված րոպե</t>
  </si>
  <si>
    <t>Բջջային, միջքաղ., միջազգայ. հեռ.համար</t>
  </si>
  <si>
    <t>Հատուկ կապ</t>
  </si>
  <si>
    <t>ընդ.ամս. վճար (Q+R) *1000</t>
  </si>
  <si>
    <t>Ամսական բաժանորդային վարձ</t>
  </si>
  <si>
    <t>այդ թվում՝</t>
  </si>
  <si>
    <t xml:space="preserve"> ISDN 30B + D(PRA) թվային կապուղու տրամադրման վարձ</t>
  </si>
  <si>
    <t>դեկադային/վիրտուալ/ 100  հեռախոսահամար</t>
  </si>
  <si>
    <t>վճար</t>
  </si>
  <si>
    <t xml:space="preserve">Ընդամենը ամսեկան հասանելիք րոպե  </t>
  </si>
  <si>
    <t>Ընդամենը անվճար րոպե</t>
  </si>
  <si>
    <t xml:space="preserve">Ընդամենը տարեկան  րոպեավճար  </t>
  </si>
  <si>
    <t>Ընդամենը տարեկան միջք. և միջազգ. խոս. վարձ</t>
  </si>
  <si>
    <t>Ընդամենը տարեկան բաժանորդային վարձ /հազ,դր,/</t>
  </si>
  <si>
    <t>Ընդամենը տարեկան րոպեավճար, միջք. և միջազգ. խոս. վարձ /հազ,դր,/</t>
  </si>
  <si>
    <t>"ՀՀ դատական դեպարտամենտ" ՊԿՀ</t>
  </si>
  <si>
    <t>Ընդամենը տարբերություն /հազ.դրամ/</t>
  </si>
  <si>
    <t xml:space="preserve">Պահպ.անձնակազմ
</t>
  </si>
  <si>
    <t>Րոպեավճար 10801րոպեից ավել 5դր,</t>
  </si>
  <si>
    <t>Թվային հեռուստատեսություն</t>
  </si>
  <si>
    <t>A</t>
  </si>
  <si>
    <t>Ընդամենը տարեկան G+M+R /հազ.դր./</t>
  </si>
  <si>
    <t>Փոստային</t>
  </si>
  <si>
    <t>Ինտերնետ</t>
  </si>
  <si>
    <t>Իրտեկ</t>
  </si>
  <si>
    <t>Ընդամենը ամբողջ կապը S+T+U+V /հազ.դր./</t>
  </si>
  <si>
    <t>ընդ. ամս. վճար D*E</t>
  </si>
  <si>
    <t>անվճար I-D*360, մնացորդ</t>
  </si>
  <si>
    <t>P*20%</t>
  </si>
  <si>
    <t>M</t>
  </si>
  <si>
    <t>P</t>
  </si>
  <si>
    <t>W</t>
  </si>
  <si>
    <r>
      <t>ընդ. ամս. վճար (N+O) *1000</t>
    </r>
    <r>
      <rPr>
        <sz val="8"/>
        <color indexed="10"/>
        <rFont val="GHEA Grapalat"/>
        <family val="3"/>
      </rPr>
      <t>*C</t>
    </r>
  </si>
  <si>
    <r>
      <t xml:space="preserve">ընդամենը </t>
    </r>
    <r>
      <rPr>
        <sz val="8"/>
        <color indexed="10"/>
        <rFont val="GHEA Grapalat"/>
        <family val="3"/>
      </rPr>
      <t xml:space="preserve">/L=K/ </t>
    </r>
  </si>
  <si>
    <r>
      <t xml:space="preserve">րոպեավ. 360ր-ից ավել </t>
    </r>
    <r>
      <rPr>
        <sz val="8"/>
        <color indexed="10"/>
        <rFont val="GHEA Grapalat"/>
        <family val="3"/>
      </rPr>
      <t xml:space="preserve">J*5 </t>
    </r>
    <r>
      <rPr>
        <sz val="8"/>
        <rFont val="GHEA Grapalat"/>
        <family val="3"/>
      </rPr>
      <t>(I-J)*5դր</t>
    </r>
  </si>
  <si>
    <r>
      <t xml:space="preserve">Ընդանուր H*C </t>
    </r>
    <r>
      <rPr>
        <sz val="8"/>
        <color indexed="10"/>
        <rFont val="GHEA Grapalat"/>
        <family val="3"/>
      </rPr>
      <t>կամ H*D</t>
    </r>
  </si>
  <si>
    <t>Տվյալ դատարանների համապատասխան հաստիքների վճարը կատարում է տվյալ դատարանը</t>
  </si>
  <si>
    <t>ԴԱՏԱՐԱՆՆԵՐ</t>
  </si>
  <si>
    <t>Դատավոր</t>
  </si>
  <si>
    <t>Ծառայող</t>
  </si>
  <si>
    <t>Տեխնիկ</t>
  </si>
  <si>
    <t>Կարգադրիչ</t>
  </si>
  <si>
    <t>Ընդ.</t>
  </si>
  <si>
    <t>Ձև N 5</t>
  </si>
  <si>
    <t>Փոստային կապի ծառայություններ /հազ.դրամ/</t>
  </si>
  <si>
    <t>Ընդհանուր օգտագործման քաղաքային հեռախոսացանցի ծառայություններ /հազ.դրամ/</t>
  </si>
  <si>
    <t>Ընդհանուր օգտագործման միջքաղաքային հեռախոսացանցի ծառայություններ /հազ.դրամ/</t>
  </si>
  <si>
    <t>"Ինտերնետ" ցանցի մուտքի ապահովման ծառայություններ /հազ.դրամ/</t>
  </si>
  <si>
    <t>Թվային հեռուստատեսություն /հազ.դրամ/</t>
  </si>
  <si>
    <t>Ընդամենը /հազ.դրամ/</t>
  </si>
  <si>
    <t>Ընդհանուրը /հազ.դրամ/</t>
  </si>
  <si>
    <t>Առանձնացված ցանցի կապի գործնական սպասարկման ծառայություններ /հազ.դրամ/</t>
  </si>
  <si>
    <t>Երևան քաղաքի ընդհանուր իրավասության դատարան</t>
  </si>
  <si>
    <t>հազ. դրամ</t>
  </si>
  <si>
    <t>2018ին 2017 ի համեմատ ավարտված գործերի քանակն աճել է ( %)</t>
  </si>
  <si>
    <t>%</t>
  </si>
  <si>
    <t>Սնանկության դատարան</t>
  </si>
  <si>
    <t>ԲԴԽ և Դատական դեպարտամենտ</t>
  </si>
  <si>
    <t>ԲԴԽ և ՀՀ դատական դեպարտամենտի կենտրոնական մարմին</t>
  </si>
  <si>
    <t>"ԲԴԽ և ՀՀ դատարաններ</t>
  </si>
  <si>
    <t>ԲԴԽ և Դատական դեպարտամենտի կենտրոնական մարմին</t>
  </si>
  <si>
    <t xml:space="preserve">ԲԴԽ </t>
  </si>
  <si>
    <t>ՀՀ Սնանկության դատարան</t>
  </si>
  <si>
    <t>ԲԴԽ անդամ և հայեցողական ու վարչական  պաշտոն</t>
  </si>
  <si>
    <t>ԲԴԽ նախագահ և անդամներ</t>
  </si>
  <si>
    <t>Դեպ. Ղեկավար</t>
  </si>
  <si>
    <t>Դեպ.ղեկավարի տեղակալ</t>
  </si>
  <si>
    <t>Վարչության պետ,  խորհրդական</t>
  </si>
  <si>
    <t>ՀՀ վերաքննիչ վարչական դատարան</t>
  </si>
  <si>
    <t>Դատարաններ</t>
  </si>
  <si>
    <t>2019 բյուջե</t>
  </si>
  <si>
    <t>2019 հատկացված</t>
  </si>
  <si>
    <t>ՀՀ  դատական իշխանության  մարմինների 2020 թվականի  կապի ծառայությունների  վճարների</t>
  </si>
  <si>
    <t>Ընդանուր H*C կամ H*D</t>
  </si>
  <si>
    <t>րոպեավ. 360ր-ից ավել J*5   (I-J)*5դր</t>
  </si>
  <si>
    <t xml:space="preserve">ընդամենը /L=K/ </t>
  </si>
  <si>
    <t>ընդ. ամս. վճար (N+O) *1000*C</t>
  </si>
  <si>
    <t>Դատարանների ուզած</t>
  </si>
  <si>
    <t>Տարբերություն ուզածը 2019-ի նկատմամբ</t>
  </si>
  <si>
    <t>2018 փաստացի</t>
  </si>
  <si>
    <t>Հատկացված</t>
  </si>
  <si>
    <t>Ավելացված</t>
  </si>
  <si>
    <t>2016-2018թթ. փաստացի փոստային ծախս</t>
  </si>
  <si>
    <t>ՀՀ Գեղարքունիքի մարզի առաջին ատյանի ընդհանուր իրավասության դատարան</t>
  </si>
  <si>
    <t>ՀՀ Արագածոտնի մարզի առաջին ատյանի ընդհանուր իրավասության դատարան</t>
  </si>
  <si>
    <t>ՀՀ Արարատի և Վայոց Ձորի մարզերի առաջին ատյանի ընդհանուր իրավասության դատարան</t>
  </si>
  <si>
    <t>ՀՀ Արմավիրի մարզի առաջին ատյանի ընդհանուր իրավասության դատարան</t>
  </si>
  <si>
    <t>ՀՀ Կոտայքի մարզի առաջին ատյանի ընդհանուր իրավասության դատարան</t>
  </si>
  <si>
    <t xml:space="preserve">ՀՀ Շիրակի մարզի առաջին ատյանի ընդհանուր իրավասության դատարան </t>
  </si>
  <si>
    <t>ՀՀ Սյունիքի մարզի առաջին ատյանի ընդհանուր իրավասության դատարան</t>
  </si>
  <si>
    <t>ՀՀ Տավուշի մարզի առաջին ատյանի ընդհանուր իրավասության դատարան</t>
  </si>
  <si>
    <t>Վերաքննիչ վարչական դատարան</t>
  </si>
  <si>
    <t xml:space="preserve">Դատավոր հիմնական շեն.  </t>
  </si>
  <si>
    <t xml:space="preserve"> Ծրագրային ապահովման օժանդակ ծառայություններ</t>
  </si>
  <si>
    <t>Հակակոռուպցիոն դատարան</t>
  </si>
  <si>
    <t>Վերաքննիչ հակակոռուպցիոն դատարան</t>
  </si>
  <si>
    <t>Արագածոտնի մարզի առաջին ատյանի ընդհանուր իրավասության դատարան</t>
  </si>
  <si>
    <t>Արարատի և Վայոց Ձորի մարզերի  առաջին ատյանի ընդհանուր իրավասության դատարան</t>
  </si>
  <si>
    <t>Արմավիրի մարզի առաջին ատյանի ընդհանուր իրավասության դատարան</t>
  </si>
  <si>
    <t>Գեղարքունիքի մարզի առաջին ատյանի ընդհանուր իրավասության դատարան</t>
  </si>
  <si>
    <t>Լոռու մարզի առաջին ատյանի ընդհանուր իրավասության դատարան</t>
  </si>
  <si>
    <t>Կոտայքի մարզի առաջին ատյանի ընդհանուր իրավասության դատարան</t>
  </si>
  <si>
    <t xml:space="preserve">Շիրակի մարզի առաջին ատյանի ընդհանուր իրավասության դատարան </t>
  </si>
  <si>
    <t xml:space="preserve">Սյունիքի մարզի առաջին ատյանի ընդհանուր իրավասության դատարան </t>
  </si>
  <si>
    <t>Տավուշի մարզի առաջին ատյանի ընդհանուր իրավասության դատարան</t>
  </si>
  <si>
    <t>Երևան քաղաքի առաջին ատյանի ընդհանուր իրավասության քաղաքացիական դատարան</t>
  </si>
  <si>
    <t>Երևան քաղաքի առաջին ատյանի ընդհանուր իրավասության քրեական դատարան</t>
  </si>
  <si>
    <t xml:space="preserve">Երևան քաղաքի առաջին ատյանի ընդհանուր իրավասության քրեական դատարան </t>
  </si>
  <si>
    <t xml:space="preserve">Երևան քաղաքի առաջին ատյանի ընդհանուր իրավասության քաղաքացիական դատարան </t>
  </si>
  <si>
    <t>ՀՀ վերաքննիչ հակակոռուպցիոն դատարան</t>
  </si>
  <si>
    <t>ԲԴԽ և Դատական դեպարտամենտ, Դատական կարգադրիչների ծառայություն</t>
  </si>
  <si>
    <t>2025թ.</t>
  </si>
  <si>
    <t xml:space="preserve">ԲԴԽ անդամ </t>
  </si>
  <si>
    <t>ՀՀ Լոռու մարզի առաջին ատյանի ընդհանուր իրավասության դատարան</t>
  </si>
  <si>
    <t>ՀՀ Շիրակի մարզի առաջին ատյանի ընդհանուր իրավասության դատարան</t>
  </si>
  <si>
    <t>ՀՀ  դատական իշխանության  մարմինների 2026 թվականի  կապի ծառայությունների  վճարների</t>
  </si>
  <si>
    <t xml:space="preserve">տար. րոպեավ. L*12/1000 </t>
  </si>
  <si>
    <t xml:space="preserve">ընդ. տար. վճար F*12/1000 </t>
  </si>
  <si>
    <t>ընդ. տար.վճար (P+Q)*12/1000</t>
  </si>
  <si>
    <t>ընդ. տար. վճար F*12/1000</t>
  </si>
  <si>
    <t>տար. րոպեավ. L*12/1000</t>
  </si>
  <si>
    <t>ընդ. տար.վճար (S+T)*12/1000</t>
  </si>
  <si>
    <r>
      <t xml:space="preserve">ՀՀ  դատական իշխանության մարմինների 2026 թվականի </t>
    </r>
    <r>
      <rPr>
        <b/>
        <sz val="11"/>
        <rFont val="GHEA Grapalat"/>
        <family val="3"/>
      </rPr>
      <t xml:space="preserve">ինտերնետի </t>
    </r>
    <r>
      <rPr>
        <sz val="11"/>
        <rFont val="GHEA Grapalat"/>
        <family val="3"/>
      </rPr>
      <t>ծառայությունների վճարների</t>
    </r>
  </si>
  <si>
    <t>ՀՀ  դատական իշխանության մարմինների 2026 թվականի փոստային կապի ծառայությունների վճարների</t>
  </si>
  <si>
    <t>2026թ.</t>
  </si>
  <si>
    <t>ՀՀ  դատական իշխանության մարմինների 2026 թվականի կապի ծառայությունների վճարների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</si>
</sst>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"/>
    <numFmt numFmtId="167" formatCode="#,#00"/>
    <numFmt numFmtId="168" formatCode="#,##0.0"/>
  </numFmts>
  <fonts count="66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Times Armenian"/>
      <family val="2"/>
    </font>
    <font>
      <sz val="11"/>
      <color indexed="8"/>
      <name val="Calibri"/>
      <family val="2"/>
      <charset val="204"/>
    </font>
    <font>
      <sz val="10"/>
      <color indexed="8"/>
      <name val="MS Sans Serif"/>
      <family val="2"/>
      <charset val="204"/>
    </font>
    <font>
      <sz val="10"/>
      <color indexed="8"/>
      <name val="MS Sans Serif"/>
      <family val="2"/>
    </font>
    <font>
      <u/>
      <sz val="10"/>
      <color indexed="12"/>
      <name val="Arial Armenian"/>
      <family val="2"/>
    </font>
    <font>
      <u/>
      <sz val="10"/>
      <color indexed="36"/>
      <name val="Arial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sz val="9.5"/>
      <name val="GHEA Grapalat"/>
      <family val="3"/>
    </font>
    <font>
      <b/>
      <sz val="12"/>
      <color indexed="10"/>
      <name val="GHEA Grapalat"/>
      <family val="3"/>
    </font>
    <font>
      <b/>
      <sz val="8"/>
      <name val="GHEA Grapalat"/>
      <family val="3"/>
    </font>
    <font>
      <sz val="10"/>
      <color indexed="8"/>
      <name val="GHEA Grapalat"/>
      <family val="3"/>
    </font>
    <font>
      <sz val="10"/>
      <name val="GHEA Grapalat"/>
      <family val="3"/>
    </font>
    <font>
      <b/>
      <sz val="11"/>
      <color indexed="10"/>
      <name val="GHEA Grapalat"/>
      <family val="3"/>
    </font>
    <font>
      <sz val="12"/>
      <name val="GHEA Grapalat"/>
      <family val="3"/>
    </font>
    <font>
      <b/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i/>
      <sz val="14"/>
      <name val="GHEA Grapalat"/>
      <family val="3"/>
    </font>
    <font>
      <b/>
      <sz val="12"/>
      <name val="GHEA Grapalat"/>
      <family val="3"/>
    </font>
    <font>
      <sz val="8"/>
      <color indexed="8"/>
      <name val="GHEA Grapalat"/>
      <family val="3"/>
    </font>
    <font>
      <sz val="10"/>
      <color indexed="10"/>
      <name val="GHEA Grapalat"/>
      <family val="3"/>
    </font>
    <font>
      <u/>
      <sz val="10"/>
      <name val="GHEA Grapalat"/>
      <family val="3"/>
    </font>
    <font>
      <b/>
      <sz val="10"/>
      <color indexed="23"/>
      <name val="GHEA Grapalat"/>
      <family val="3"/>
    </font>
    <font>
      <b/>
      <sz val="10"/>
      <color indexed="12"/>
      <name val="GHEA Grapalat"/>
      <family val="3"/>
    </font>
    <font>
      <b/>
      <i/>
      <sz val="10"/>
      <name val="GHEA Grapalat"/>
      <family val="3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10"/>
      <name val="GHEA Grapalat"/>
      <family val="3"/>
    </font>
    <font>
      <sz val="11"/>
      <color theme="1"/>
      <name val="Calibri"/>
      <family val="2"/>
      <scheme val="minor"/>
    </font>
    <font>
      <sz val="11"/>
      <color theme="1"/>
      <name val="Times Armenian"/>
      <family val="2"/>
    </font>
    <font>
      <sz val="8"/>
      <color rgb="FF7030A0"/>
      <name val="GHEA Grapalat"/>
      <family val="3"/>
    </font>
    <font>
      <sz val="10"/>
      <color rgb="FF7030A0"/>
      <name val="GHEA Grapalat"/>
      <family val="3"/>
    </font>
    <font>
      <sz val="10"/>
      <color rgb="FFFF0000"/>
      <name val="GHEA Grapalat"/>
      <family val="3"/>
    </font>
    <font>
      <i/>
      <sz val="10"/>
      <name val="GHEA Grapalat"/>
      <family val="3"/>
    </font>
    <font>
      <sz val="11"/>
      <color rgb="FF7030A0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0"/>
      <color indexed="14"/>
      <name val="GHEA Grapalat"/>
      <family val="3"/>
    </font>
    <font>
      <sz val="9"/>
      <color indexed="8"/>
      <name val="GHEA Grapalat"/>
      <family val="3"/>
    </font>
    <font>
      <sz val="12"/>
      <color indexed="8"/>
      <name val="GHEA Grapalat"/>
      <family val="3"/>
    </font>
    <font>
      <sz val="12"/>
      <color indexed="10"/>
      <name val="GHEA Grapalat"/>
      <family val="3"/>
    </font>
    <font>
      <b/>
      <sz val="10"/>
      <color theme="1"/>
      <name val="GHEA Grapalat"/>
      <family val="3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165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50" fillId="0" borderId="0"/>
    <xf numFmtId="0" fontId="4" fillId="0" borderId="0"/>
    <xf numFmtId="0" fontId="1" fillId="0" borderId="0"/>
    <xf numFmtId="0" fontId="3" fillId="0" borderId="0"/>
    <xf numFmtId="0" fontId="51" fillId="0" borderId="0"/>
    <xf numFmtId="0" fontId="5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50" fillId="0" borderId="0"/>
    <xf numFmtId="0" fontId="4" fillId="0" borderId="0"/>
    <xf numFmtId="0" fontId="6" fillId="0" borderId="0"/>
    <xf numFmtId="0" fontId="3" fillId="0" borderId="0"/>
    <xf numFmtId="0" fontId="5" fillId="23" borderId="7" applyNumberFormat="0" applyFont="0" applyAlignment="0" applyProtection="0"/>
    <xf numFmtId="0" fontId="23" fillId="20" borderId="8" applyNumberFormat="0" applyAlignment="0" applyProtection="0"/>
    <xf numFmtId="9" fontId="3" fillId="0" borderId="0" applyFont="0" applyFill="0" applyBorder="0" applyAlignment="0" applyProtection="0"/>
    <xf numFmtId="0" fontId="8" fillId="0" borderId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50" fillId="0" borderId="0"/>
    <xf numFmtId="0" fontId="3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63">
    <xf numFmtId="0" fontId="0" fillId="0" borderId="0" xfId="0"/>
    <xf numFmtId="0" fontId="31" fillId="24" borderId="10" xfId="0" applyFont="1" applyFill="1" applyBorder="1"/>
    <xf numFmtId="0" fontId="31" fillId="24" borderId="10" xfId="0" applyFont="1" applyFill="1" applyBorder="1" applyAlignment="1">
      <alignment horizontal="right"/>
    </xf>
    <xf numFmtId="0" fontId="35" fillId="24" borderId="11" xfId="0" applyFont="1" applyFill="1" applyBorder="1" applyAlignment="1">
      <alignment horizontal="center" vertical="center"/>
    </xf>
    <xf numFmtId="0" fontId="27" fillId="24" borderId="0" xfId="0" applyFont="1" applyFill="1" applyBorder="1" applyAlignment="1">
      <alignment wrapText="1"/>
    </xf>
    <xf numFmtId="0" fontId="31" fillId="24" borderId="0" xfId="0" applyFont="1" applyFill="1" applyAlignment="1">
      <alignment horizontal="center"/>
    </xf>
    <xf numFmtId="0" fontId="35" fillId="24" borderId="0" xfId="0" applyFont="1" applyFill="1" applyAlignment="1">
      <alignment horizontal="center"/>
    </xf>
    <xf numFmtId="0" fontId="31" fillId="24" borderId="0" xfId="0" applyFont="1" applyFill="1"/>
    <xf numFmtId="0" fontId="37" fillId="24" borderId="0" xfId="0" applyFont="1" applyFill="1" applyBorder="1" applyAlignment="1">
      <alignment horizontal="center" wrapText="1"/>
    </xf>
    <xf numFmtId="0" fontId="43" fillId="24" borderId="12" xfId="0" applyFont="1" applyFill="1" applyBorder="1" applyAlignment="1">
      <alignment horizontal="left" wrapText="1"/>
    </xf>
    <xf numFmtId="0" fontId="40" fillId="24" borderId="12" xfId="0" applyFont="1" applyFill="1" applyBorder="1" applyAlignment="1">
      <alignment horizontal="left"/>
    </xf>
    <xf numFmtId="0" fontId="34" fillId="24" borderId="12" xfId="0" applyFont="1" applyFill="1" applyBorder="1" applyAlignment="1">
      <alignment horizontal="centerContinuous" wrapText="1"/>
    </xf>
    <xf numFmtId="0" fontId="31" fillId="24" borderId="12" xfId="0" applyFont="1" applyFill="1" applyBorder="1"/>
    <xf numFmtId="0" fontId="31" fillId="24" borderId="0" xfId="0" applyFont="1" applyFill="1" applyBorder="1"/>
    <xf numFmtId="0" fontId="35" fillId="24" borderId="0" xfId="0" applyFont="1" applyFill="1"/>
    <xf numFmtId="0" fontId="35" fillId="24" borderId="16" xfId="0" applyFont="1" applyFill="1" applyBorder="1" applyAlignment="1">
      <alignment horizontal="center"/>
    </xf>
    <xf numFmtId="0" fontId="35" fillId="24" borderId="17" xfId="0" applyFont="1" applyFill="1" applyBorder="1" applyAlignment="1">
      <alignment horizontal="center" vertical="center"/>
    </xf>
    <xf numFmtId="0" fontId="31" fillId="24" borderId="16" xfId="0" applyFont="1" applyFill="1" applyBorder="1"/>
    <xf numFmtId="0" fontId="39" fillId="24" borderId="11" xfId="0" applyFont="1" applyFill="1" applyBorder="1" applyAlignment="1">
      <alignment wrapText="1"/>
    </xf>
    <xf numFmtId="0" fontId="31" fillId="24" borderId="13" xfId="0" applyFont="1" applyFill="1" applyBorder="1"/>
    <xf numFmtId="0" fontId="36" fillId="24" borderId="14" xfId="0" applyFont="1" applyFill="1" applyBorder="1"/>
    <xf numFmtId="0" fontId="31" fillId="24" borderId="18" xfId="0" applyFont="1" applyFill="1" applyBorder="1"/>
    <xf numFmtId="0" fontId="29" fillId="24" borderId="0" xfId="0" applyFont="1" applyFill="1" applyBorder="1" applyAlignment="1">
      <alignment horizontal="centerContinuous" wrapText="1"/>
    </xf>
    <xf numFmtId="0" fontId="33" fillId="24" borderId="12" xfId="0" applyFont="1" applyFill="1" applyBorder="1" applyAlignment="1">
      <alignment horizontal="centerContinuous" wrapText="1"/>
    </xf>
    <xf numFmtId="0" fontId="29" fillId="24" borderId="12" xfId="0" applyFont="1" applyFill="1" applyBorder="1" applyAlignment="1">
      <alignment horizontal="centerContinuous" wrapText="1"/>
    </xf>
    <xf numFmtId="0" fontId="31" fillId="24" borderId="0" xfId="0" applyFont="1" applyFill="1" applyAlignment="1">
      <alignment wrapText="1"/>
    </xf>
    <xf numFmtId="0" fontId="31" fillId="24" borderId="0" xfId="0" applyFont="1" applyFill="1" applyBorder="1" applyAlignment="1">
      <alignment horizontal="centerContinuous" wrapText="1"/>
    </xf>
    <xf numFmtId="0" fontId="35" fillId="24" borderId="0" xfId="0" applyFont="1" applyFill="1" applyAlignment="1">
      <alignment horizontal="centerContinuous" wrapText="1"/>
    </xf>
    <xf numFmtId="0" fontId="35" fillId="24" borderId="0" xfId="0" applyFont="1" applyFill="1" applyAlignment="1">
      <alignment horizontal="centerContinuous"/>
    </xf>
    <xf numFmtId="0" fontId="35" fillId="24" borderId="0" xfId="0" applyFont="1" applyFill="1" applyAlignment="1">
      <alignment wrapText="1"/>
    </xf>
    <xf numFmtId="0" fontId="36" fillId="24" borderId="0" xfId="0" applyFont="1" applyFill="1" applyAlignment="1">
      <alignment wrapText="1"/>
    </xf>
    <xf numFmtId="0" fontId="30" fillId="24" borderId="0" xfId="0" applyFont="1" applyFill="1"/>
    <xf numFmtId="0" fontId="41" fillId="24" borderId="0" xfId="0" applyFont="1" applyFill="1"/>
    <xf numFmtId="0" fontId="31" fillId="24" borderId="10" xfId="0" applyFont="1" applyFill="1" applyBorder="1" applyAlignment="1">
      <alignment wrapText="1"/>
    </xf>
    <xf numFmtId="0" fontId="34" fillId="24" borderId="10" xfId="0" applyFont="1" applyFill="1" applyBorder="1"/>
    <xf numFmtId="0" fontId="37" fillId="24" borderId="10" xfId="0" applyFont="1" applyFill="1" applyBorder="1" applyAlignment="1">
      <alignment wrapText="1"/>
    </xf>
    <xf numFmtId="1" fontId="34" fillId="24" borderId="10" xfId="0" applyNumberFormat="1" applyFont="1" applyFill="1" applyBorder="1"/>
    <xf numFmtId="0" fontId="31" fillId="24" borderId="31" xfId="0" applyFont="1" applyFill="1" applyBorder="1" applyAlignment="1">
      <alignment vertical="center" wrapText="1"/>
    </xf>
    <xf numFmtId="0" fontId="36" fillId="24" borderId="10" xfId="0" applyFont="1" applyFill="1" applyBorder="1"/>
    <xf numFmtId="167" fontId="31" fillId="24" borderId="10" xfId="0" applyNumberFormat="1" applyFont="1" applyFill="1" applyBorder="1" applyAlignment="1">
      <alignment horizontal="center"/>
    </xf>
    <xf numFmtId="1" fontId="31" fillId="24" borderId="10" xfId="0" applyNumberFormat="1" applyFont="1" applyFill="1" applyBorder="1" applyAlignment="1">
      <alignment horizontal="center"/>
    </xf>
    <xf numFmtId="0" fontId="40" fillId="24" borderId="0" xfId="0" applyFont="1" applyFill="1" applyBorder="1" applyAlignment="1">
      <alignment wrapText="1"/>
    </xf>
    <xf numFmtId="0" fontId="34" fillId="24" borderId="0" xfId="0" applyFont="1" applyFill="1" applyBorder="1" applyAlignment="1">
      <alignment horizontal="centerContinuous" wrapText="1"/>
    </xf>
    <xf numFmtId="0" fontId="38" fillId="24" borderId="0" xfId="0" applyFont="1" applyFill="1" applyAlignment="1"/>
    <xf numFmtId="0" fontId="39" fillId="24" borderId="10" xfId="0" applyFont="1" applyFill="1" applyBorder="1" applyAlignment="1">
      <alignment wrapText="1"/>
    </xf>
    <xf numFmtId="0" fontId="34" fillId="24" borderId="12" xfId="0" applyFont="1" applyFill="1" applyBorder="1" applyAlignment="1">
      <alignment horizontal="center" wrapText="1"/>
    </xf>
    <xf numFmtId="0" fontId="34" fillId="24" borderId="29" xfId="0" applyFont="1" applyFill="1" applyBorder="1"/>
    <xf numFmtId="0" fontId="35" fillId="24" borderId="10" xfId="0" applyFont="1" applyFill="1" applyBorder="1" applyAlignment="1">
      <alignment horizontal="center" vertical="center"/>
    </xf>
    <xf numFmtId="168" fontId="31" fillId="24" borderId="14" xfId="0" applyNumberFormat="1" applyFont="1" applyFill="1" applyBorder="1" applyAlignment="1">
      <alignment horizontal="center"/>
    </xf>
    <xf numFmtId="168" fontId="31" fillId="24" borderId="15" xfId="0" applyNumberFormat="1" applyFont="1" applyFill="1" applyBorder="1" applyAlignment="1">
      <alignment horizontal="center"/>
    </xf>
    <xf numFmtId="168" fontId="31" fillId="24" borderId="10" xfId="0" applyNumberFormat="1" applyFont="1" applyFill="1" applyBorder="1" applyAlignment="1">
      <alignment horizontal="center"/>
    </xf>
    <xf numFmtId="0" fontId="31" fillId="24" borderId="10" xfId="0" applyFont="1" applyFill="1" applyBorder="1" applyAlignment="1">
      <alignment horizontal="left" vertical="center" wrapText="1"/>
    </xf>
    <xf numFmtId="168" fontId="31" fillId="24" borderId="10" xfId="0" applyNumberFormat="1" applyFont="1" applyFill="1" applyBorder="1" applyAlignment="1">
      <alignment horizontal="center" vertical="center" wrapText="1"/>
    </xf>
    <xf numFmtId="0" fontId="35" fillId="24" borderId="10" xfId="0" applyFont="1" applyFill="1" applyBorder="1" applyAlignment="1">
      <alignment horizontal="center" vertical="center" wrapText="1"/>
    </xf>
    <xf numFmtId="9" fontId="35" fillId="24" borderId="10" xfId="0" applyNumberFormat="1" applyFont="1" applyFill="1" applyBorder="1" applyAlignment="1">
      <alignment horizontal="center" vertical="center" wrapText="1"/>
    </xf>
    <xf numFmtId="0" fontId="31" fillId="24" borderId="0" xfId="68" applyFont="1" applyFill="1"/>
    <xf numFmtId="0" fontId="31" fillId="24" borderId="27" xfId="0" applyFont="1" applyFill="1" applyBorder="1"/>
    <xf numFmtId="0" fontId="31" fillId="24" borderId="37" xfId="0" applyFont="1" applyFill="1" applyBorder="1" applyAlignment="1">
      <alignment horizontal="left" vertical="center"/>
    </xf>
    <xf numFmtId="0" fontId="31" fillId="24" borderId="38" xfId="0" applyFont="1" applyFill="1" applyBorder="1"/>
    <xf numFmtId="0" fontId="34" fillId="24" borderId="19" xfId="0" applyFont="1" applyFill="1" applyBorder="1"/>
    <xf numFmtId="1" fontId="34" fillId="24" borderId="27" xfId="0" applyNumberFormat="1" applyFont="1" applyFill="1" applyBorder="1"/>
    <xf numFmtId="0" fontId="40" fillId="24" borderId="0" xfId="0" applyFont="1" applyFill="1" applyBorder="1" applyAlignment="1">
      <alignment horizontal="center" wrapText="1"/>
    </xf>
    <xf numFmtId="0" fontId="37" fillId="24" borderId="0" xfId="0" applyFont="1" applyFill="1" applyAlignment="1">
      <alignment horizontal="center"/>
    </xf>
    <xf numFmtId="0" fontId="38" fillId="24" borderId="0" xfId="0" applyFont="1" applyFill="1" applyAlignment="1">
      <alignment horizontal="center"/>
    </xf>
    <xf numFmtId="0" fontId="29" fillId="24" borderId="0" xfId="0" applyFont="1" applyFill="1" applyBorder="1" applyAlignment="1">
      <alignment horizontal="center" wrapText="1"/>
    </xf>
    <xf numFmtId="0" fontId="31" fillId="24" borderId="10" xfId="0" applyFont="1" applyFill="1" applyBorder="1" applyAlignment="1">
      <alignment horizontal="center"/>
    </xf>
    <xf numFmtId="0" fontId="28" fillId="24" borderId="0" xfId="0" applyFont="1" applyFill="1" applyBorder="1" applyAlignment="1">
      <alignment horizontal="center" wrapText="1"/>
    </xf>
    <xf numFmtId="0" fontId="32" fillId="24" borderId="0" xfId="0" applyFont="1" applyFill="1" applyBorder="1" applyAlignment="1">
      <alignment horizontal="center" wrapText="1"/>
    </xf>
    <xf numFmtId="0" fontId="29" fillId="24" borderId="0" xfId="0" applyFont="1" applyFill="1" applyBorder="1" applyAlignment="1">
      <alignment horizontal="center" wrapText="1"/>
    </xf>
    <xf numFmtId="0" fontId="38" fillId="24" borderId="0" xfId="0" applyFont="1" applyFill="1"/>
    <xf numFmtId="0" fontId="31" fillId="24" borderId="10" xfId="0" applyNumberFormat="1" applyFont="1" applyFill="1" applyBorder="1" applyAlignment="1">
      <alignment horizontal="left" vertical="center" wrapText="1"/>
    </xf>
    <xf numFmtId="166" fontId="31" fillId="24" borderId="10" xfId="0" applyNumberFormat="1" applyFont="1" applyFill="1" applyBorder="1" applyAlignment="1">
      <alignment horizontal="center" vertical="center" wrapText="1"/>
    </xf>
    <xf numFmtId="166" fontId="56" fillId="24" borderId="0" xfId="0" applyNumberFormat="1" applyFont="1" applyFill="1"/>
    <xf numFmtId="0" fontId="56" fillId="24" borderId="0" xfId="0" applyFont="1" applyFill="1"/>
    <xf numFmtId="166" fontId="38" fillId="24" borderId="0" xfId="0" applyNumberFormat="1" applyFont="1" applyFill="1"/>
    <xf numFmtId="0" fontId="31" fillId="24" borderId="20" xfId="0" applyNumberFormat="1" applyFont="1" applyFill="1" applyBorder="1" applyAlignment="1">
      <alignment horizontal="left" vertical="center" wrapText="1"/>
    </xf>
    <xf numFmtId="0" fontId="57" fillId="24" borderId="0" xfId="0" applyFont="1" applyFill="1"/>
    <xf numFmtId="0" fontId="31" fillId="24" borderId="10" xfId="68" applyFont="1" applyFill="1" applyBorder="1" applyAlignment="1">
      <alignment horizontal="center" vertical="center" wrapText="1"/>
    </xf>
    <xf numFmtId="9" fontId="31" fillId="24" borderId="10" xfId="68" applyNumberFormat="1" applyFont="1" applyFill="1" applyBorder="1" applyAlignment="1">
      <alignment horizontal="center" vertical="center" wrapText="1"/>
    </xf>
    <xf numFmtId="0" fontId="31" fillId="24" borderId="10" xfId="68" applyFont="1" applyFill="1" applyBorder="1" applyAlignment="1">
      <alignment horizontal="center"/>
    </xf>
    <xf numFmtId="0" fontId="31" fillId="24" borderId="10" xfId="68" applyFont="1" applyFill="1" applyBorder="1"/>
    <xf numFmtId="0" fontId="31" fillId="24" borderId="10" xfId="68" applyFont="1" applyFill="1" applyBorder="1" applyAlignment="1">
      <alignment wrapText="1"/>
    </xf>
    <xf numFmtId="166" fontId="31" fillId="24" borderId="10" xfId="68" applyNumberFormat="1" applyFont="1" applyFill="1" applyBorder="1"/>
    <xf numFmtId="1" fontId="31" fillId="24" borderId="10" xfId="68" applyNumberFormat="1" applyFont="1" applyFill="1" applyBorder="1"/>
    <xf numFmtId="0" fontId="42" fillId="24" borderId="10" xfId="68" applyFont="1" applyFill="1" applyBorder="1"/>
    <xf numFmtId="0" fontId="31" fillId="24" borderId="10" xfId="68" applyFont="1" applyFill="1" applyBorder="1" applyAlignment="1">
      <alignment horizontal="right"/>
    </xf>
    <xf numFmtId="0" fontId="31" fillId="24" borderId="0" xfId="68" applyFont="1" applyFill="1" applyBorder="1"/>
    <xf numFmtId="166" fontId="31" fillId="24" borderId="0" xfId="68" applyNumberFormat="1" applyFont="1" applyFill="1" applyBorder="1"/>
    <xf numFmtId="1" fontId="31" fillId="24" borderId="0" xfId="68" applyNumberFormat="1" applyFont="1" applyFill="1" applyBorder="1"/>
    <xf numFmtId="0" fontId="31" fillId="24" borderId="10" xfId="68" applyFont="1" applyFill="1" applyBorder="1" applyAlignment="1">
      <alignment horizontal="left"/>
    </xf>
    <xf numFmtId="0" fontId="31" fillId="24" borderId="23" xfId="68" applyFont="1" applyFill="1" applyBorder="1"/>
    <xf numFmtId="0" fontId="35" fillId="24" borderId="24" xfId="68" applyFont="1" applyFill="1" applyBorder="1"/>
    <xf numFmtId="0" fontId="35" fillId="24" borderId="25" xfId="68" applyFont="1" applyFill="1" applyBorder="1"/>
    <xf numFmtId="0" fontId="31" fillId="24" borderId="19" xfId="68" applyFont="1" applyFill="1" applyBorder="1"/>
    <xf numFmtId="0" fontId="31" fillId="24" borderId="26" xfId="68" applyFont="1" applyFill="1" applyBorder="1"/>
    <xf numFmtId="0" fontId="31" fillId="24" borderId="27" xfId="68" applyFont="1" applyFill="1" applyBorder="1"/>
    <xf numFmtId="166" fontId="53" fillId="24" borderId="10" xfId="68" applyNumberFormat="1" applyFont="1" applyFill="1" applyBorder="1"/>
    <xf numFmtId="0" fontId="31" fillId="24" borderId="19" xfId="68" applyFont="1" applyFill="1" applyBorder="1" applyAlignment="1">
      <alignment horizontal="left"/>
    </xf>
    <xf numFmtId="0" fontId="31" fillId="24" borderId="26" xfId="68" applyFont="1" applyFill="1" applyBorder="1" applyAlignment="1">
      <alignment horizontal="left"/>
    </xf>
    <xf numFmtId="0" fontId="31" fillId="24" borderId="27" xfId="68" applyFont="1" applyFill="1" applyBorder="1" applyAlignment="1">
      <alignment horizontal="left"/>
    </xf>
    <xf numFmtId="0" fontId="31" fillId="24" borderId="28" xfId="68" applyFont="1" applyFill="1" applyBorder="1" applyAlignment="1">
      <alignment horizontal="left"/>
    </xf>
    <xf numFmtId="0" fontId="31" fillId="24" borderId="29" xfId="68" applyFont="1" applyFill="1" applyBorder="1" applyAlignment="1">
      <alignment horizontal="center"/>
    </xf>
    <xf numFmtId="0" fontId="31" fillId="24" borderId="30" xfId="68" applyFont="1" applyFill="1" applyBorder="1" applyAlignment="1">
      <alignment horizontal="center"/>
    </xf>
    <xf numFmtId="0" fontId="31" fillId="24" borderId="19" xfId="68" applyFont="1" applyFill="1" applyBorder="1" applyAlignment="1">
      <alignment horizontal="left" wrapText="1"/>
    </xf>
    <xf numFmtId="0" fontId="31" fillId="24" borderId="26" xfId="68" applyFont="1" applyFill="1" applyBorder="1" applyAlignment="1">
      <alignment horizontal="left" wrapText="1"/>
    </xf>
    <xf numFmtId="0" fontId="31" fillId="24" borderId="27" xfId="68" applyFont="1" applyFill="1" applyBorder="1" applyAlignment="1">
      <alignment horizontal="left" wrapText="1"/>
    </xf>
    <xf numFmtId="0" fontId="59" fillId="24" borderId="10" xfId="68" applyFont="1" applyFill="1" applyBorder="1"/>
    <xf numFmtId="166" fontId="59" fillId="24" borderId="10" xfId="68" applyNumberFormat="1" applyFont="1" applyFill="1" applyBorder="1"/>
    <xf numFmtId="0" fontId="31" fillId="0" borderId="0" xfId="0" applyFont="1"/>
    <xf numFmtId="0" fontId="31" fillId="0" borderId="31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0" fontId="31" fillId="24" borderId="10" xfId="68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4" fillId="0" borderId="10" xfId="0" applyFont="1" applyBorder="1"/>
    <xf numFmtId="0" fontId="31" fillId="0" borderId="26" xfId="0" applyFont="1" applyBorder="1"/>
    <xf numFmtId="0" fontId="31" fillId="0" borderId="27" xfId="0" applyFont="1" applyBorder="1"/>
    <xf numFmtId="0" fontId="31" fillId="24" borderId="10" xfId="68" applyFont="1" applyFill="1" applyBorder="1" applyAlignment="1"/>
    <xf numFmtId="0" fontId="31" fillId="24" borderId="0" xfId="68" applyFont="1" applyFill="1" applyAlignment="1">
      <alignment horizontal="center"/>
    </xf>
    <xf numFmtId="0" fontId="36" fillId="24" borderId="0" xfId="68" applyFont="1" applyFill="1" applyAlignment="1">
      <alignment wrapText="1"/>
    </xf>
    <xf numFmtId="0" fontId="31" fillId="24" borderId="0" xfId="68" applyFont="1" applyFill="1" applyAlignment="1">
      <alignment wrapText="1"/>
    </xf>
    <xf numFmtId="166" fontId="31" fillId="24" borderId="0" xfId="68" applyNumberFormat="1" applyFont="1" applyFill="1"/>
    <xf numFmtId="0" fontId="30" fillId="24" borderId="0" xfId="68" applyFont="1" applyFill="1"/>
    <xf numFmtId="166" fontId="31" fillId="24" borderId="0" xfId="68" applyNumberFormat="1" applyFont="1" applyFill="1" applyAlignment="1">
      <alignment horizontal="center"/>
    </xf>
    <xf numFmtId="0" fontId="31" fillId="24" borderId="0" xfId="41" applyFont="1" applyFill="1"/>
    <xf numFmtId="0" fontId="31" fillId="24" borderId="26" xfId="0" applyFont="1" applyFill="1" applyBorder="1"/>
    <xf numFmtId="0" fontId="31" fillId="24" borderId="10" xfId="97" applyFont="1" applyFill="1" applyBorder="1"/>
    <xf numFmtId="0" fontId="54" fillId="24" borderId="10" xfId="97" applyFont="1" applyFill="1" applyBorder="1" applyAlignment="1">
      <alignment horizontal="right"/>
    </xf>
    <xf numFmtId="0" fontId="54" fillId="24" borderId="10" xfId="97" applyFont="1" applyFill="1" applyBorder="1"/>
    <xf numFmtId="0" fontId="31" fillId="24" borderId="10" xfId="97" applyFont="1" applyFill="1" applyBorder="1" applyAlignment="1">
      <alignment horizontal="right"/>
    </xf>
    <xf numFmtId="0" fontId="31" fillId="24" borderId="0" xfId="45" applyFont="1" applyFill="1"/>
    <xf numFmtId="0" fontId="42" fillId="24" borderId="0" xfId="68" applyFont="1" applyFill="1"/>
    <xf numFmtId="0" fontId="28" fillId="24" borderId="0" xfId="68" applyFont="1" applyFill="1"/>
    <xf numFmtId="166" fontId="28" fillId="24" borderId="0" xfId="68" applyNumberFormat="1" applyFont="1" applyFill="1" applyAlignment="1">
      <alignment horizontal="center"/>
    </xf>
    <xf numFmtId="0" fontId="31" fillId="24" borderId="0" xfId="42" applyFont="1" applyFill="1"/>
    <xf numFmtId="0" fontId="61" fillId="24" borderId="0" xfId="68" applyFont="1" applyFill="1"/>
    <xf numFmtId="0" fontId="62" fillId="24" borderId="0" xfId="68" applyFont="1" applyFill="1"/>
    <xf numFmtId="0" fontId="31" fillId="24" borderId="10" xfId="98" applyFont="1" applyFill="1" applyBorder="1"/>
    <xf numFmtId="0" fontId="31" fillId="24" borderId="10" xfId="98" applyFont="1" applyFill="1" applyBorder="1" applyAlignment="1">
      <alignment horizontal="right"/>
    </xf>
    <xf numFmtId="0" fontId="31" fillId="24" borderId="0" xfId="41" applyFont="1" applyFill="1" applyAlignment="1">
      <alignment horizontal="center"/>
    </xf>
    <xf numFmtId="0" fontId="36" fillId="24" borderId="0" xfId="41" applyFont="1" applyFill="1" applyAlignment="1">
      <alignment wrapText="1"/>
    </xf>
    <xf numFmtId="0" fontId="31" fillId="24" borderId="0" xfId="41" applyFont="1" applyFill="1" applyAlignment="1">
      <alignment wrapText="1"/>
    </xf>
    <xf numFmtId="0" fontId="38" fillId="24" borderId="32" xfId="0" applyFont="1" applyFill="1" applyBorder="1" applyAlignment="1">
      <alignment horizontal="center" vertical="center"/>
    </xf>
    <xf numFmtId="0" fontId="55" fillId="24" borderId="33" xfId="0" applyNumberFormat="1" applyFont="1" applyFill="1" applyBorder="1" applyAlignment="1">
      <alignment horizontal="center" vertical="center" wrapText="1"/>
    </xf>
    <xf numFmtId="0" fontId="31" fillId="24" borderId="36" xfId="0" applyFont="1" applyFill="1" applyBorder="1" applyAlignment="1">
      <alignment horizontal="center" vertical="center" wrapText="1"/>
    </xf>
    <xf numFmtId="0" fontId="38" fillId="24" borderId="34" xfId="0" applyFont="1" applyFill="1" applyBorder="1" applyAlignment="1">
      <alignment horizontal="center" vertical="center"/>
    </xf>
    <xf numFmtId="0" fontId="55" fillId="24" borderId="35" xfId="0" applyNumberFormat="1" applyFont="1" applyFill="1" applyBorder="1" applyAlignment="1">
      <alignment horizontal="center" vertical="center" wrapText="1"/>
    </xf>
    <xf numFmtId="0" fontId="55" fillId="24" borderId="10" xfId="70" applyNumberFormat="1" applyFont="1" applyFill="1" applyBorder="1" applyAlignment="1">
      <alignment horizontal="center" vertical="center" wrapText="1"/>
    </xf>
    <xf numFmtId="168" fontId="34" fillId="24" borderId="11" xfId="0" applyNumberFormat="1" applyFont="1" applyFill="1" applyBorder="1" applyAlignment="1">
      <alignment horizontal="center" wrapText="1"/>
    </xf>
    <xf numFmtId="168" fontId="34" fillId="24" borderId="17" xfId="0" applyNumberFormat="1" applyFont="1" applyFill="1" applyBorder="1" applyAlignment="1">
      <alignment horizontal="center" wrapText="1"/>
    </xf>
    <xf numFmtId="168" fontId="34" fillId="24" borderId="10" xfId="0" applyNumberFormat="1" applyFont="1" applyFill="1" applyBorder="1" applyAlignment="1">
      <alignment horizontal="center" wrapText="1"/>
    </xf>
    <xf numFmtId="168" fontId="31" fillId="24" borderId="19" xfId="0" applyNumberFormat="1" applyFont="1" applyFill="1" applyBorder="1" applyAlignment="1">
      <alignment horizontal="center" vertical="center" wrapText="1"/>
    </xf>
    <xf numFmtId="166" fontId="31" fillId="24" borderId="18" xfId="0" applyNumberFormat="1" applyFont="1" applyFill="1" applyBorder="1" applyAlignment="1">
      <alignment horizontal="center" vertical="center" wrapText="1"/>
    </xf>
    <xf numFmtId="166" fontId="31" fillId="24" borderId="27" xfId="0" applyNumberFormat="1" applyFont="1" applyFill="1" applyBorder="1" applyAlignment="1">
      <alignment horizontal="center" vertical="center" wrapText="1"/>
    </xf>
    <xf numFmtId="168" fontId="31" fillId="24" borderId="20" xfId="0" applyNumberFormat="1" applyFont="1" applyFill="1" applyBorder="1" applyAlignment="1">
      <alignment horizontal="center" vertical="center" wrapText="1"/>
    </xf>
    <xf numFmtId="168" fontId="31" fillId="24" borderId="21" xfId="0" applyNumberFormat="1" applyFont="1" applyFill="1" applyBorder="1" applyAlignment="1">
      <alignment horizontal="center" vertical="center" wrapText="1"/>
    </xf>
    <xf numFmtId="166" fontId="31" fillId="24" borderId="22" xfId="0" applyNumberFormat="1" applyFont="1" applyFill="1" applyBorder="1" applyAlignment="1">
      <alignment horizontal="center" vertical="center" wrapText="1"/>
    </xf>
    <xf numFmtId="166" fontId="31" fillId="24" borderId="30" xfId="0" applyNumberFormat="1" applyFont="1" applyFill="1" applyBorder="1" applyAlignment="1">
      <alignment horizontal="center" vertical="center" wrapText="1"/>
    </xf>
    <xf numFmtId="0" fontId="33" fillId="24" borderId="10" xfId="68" applyFont="1" applyFill="1" applyBorder="1" applyAlignment="1">
      <alignment horizontal="center" vertical="center"/>
    </xf>
    <xf numFmtId="0" fontId="33" fillId="24" borderId="0" xfId="68" applyFont="1" applyFill="1"/>
    <xf numFmtId="166" fontId="34" fillId="24" borderId="10" xfId="0" applyNumberFormat="1" applyFont="1" applyFill="1" applyBorder="1" applyAlignment="1">
      <alignment horizontal="center" wrapText="1"/>
    </xf>
    <xf numFmtId="0" fontId="29" fillId="24" borderId="0" xfId="0" applyFont="1" applyFill="1" applyBorder="1" applyAlignment="1">
      <alignment horizontal="center" wrapText="1"/>
    </xf>
    <xf numFmtId="0" fontId="31" fillId="24" borderId="10" xfId="0" applyFont="1" applyFill="1" applyBorder="1" applyAlignment="1">
      <alignment horizontal="center"/>
    </xf>
    <xf numFmtId="0" fontId="28" fillId="24" borderId="0" xfId="0" applyFont="1" applyFill="1" applyBorder="1" applyAlignment="1">
      <alignment horizontal="center" wrapText="1"/>
    </xf>
    <xf numFmtId="0" fontId="31" fillId="24" borderId="31" xfId="0" applyFont="1" applyFill="1" applyBorder="1" applyAlignment="1">
      <alignment horizontal="center" vertical="center" wrapText="1"/>
    </xf>
    <xf numFmtId="0" fontId="32" fillId="24" borderId="0" xfId="0" applyFont="1" applyFill="1" applyBorder="1" applyAlignment="1">
      <alignment horizontal="center" wrapText="1"/>
    </xf>
    <xf numFmtId="0" fontId="31" fillId="24" borderId="19" xfId="0" applyFont="1" applyFill="1" applyBorder="1" applyAlignment="1">
      <alignment horizontal="left" vertical="center"/>
    </xf>
    <xf numFmtId="0" fontId="40" fillId="24" borderId="0" xfId="0" applyFont="1" applyFill="1" applyBorder="1" applyAlignment="1">
      <alignment horizontal="center" wrapText="1"/>
    </xf>
    <xf numFmtId="0" fontId="29" fillId="24" borderId="0" xfId="0" applyFont="1" applyFill="1" applyBorder="1" applyAlignment="1">
      <alignment horizontal="center" wrapText="1"/>
    </xf>
    <xf numFmtId="0" fontId="31" fillId="24" borderId="10" xfId="0" applyFont="1" applyFill="1" applyBorder="1" applyAlignment="1">
      <alignment horizontal="center"/>
    </xf>
    <xf numFmtId="168" fontId="31" fillId="24" borderId="10" xfId="0" applyNumberFormat="1" applyFont="1" applyFill="1" applyBorder="1"/>
    <xf numFmtId="0" fontId="40" fillId="24" borderId="0" xfId="0" applyFont="1" applyFill="1" applyBorder="1" applyAlignment="1">
      <alignment horizontal="center" wrapText="1"/>
    </xf>
    <xf numFmtId="0" fontId="38" fillId="24" borderId="0" xfId="0" applyFont="1" applyFill="1" applyAlignment="1">
      <alignment horizontal="center"/>
    </xf>
    <xf numFmtId="0" fontId="29" fillId="24" borderId="0" xfId="0" applyFont="1" applyFill="1" applyBorder="1" applyAlignment="1">
      <alignment horizontal="center" wrapText="1"/>
    </xf>
    <xf numFmtId="0" fontId="37" fillId="24" borderId="0" xfId="0" applyFont="1" applyFill="1" applyBorder="1" applyAlignment="1">
      <alignment horizontal="center" wrapText="1"/>
    </xf>
    <xf numFmtId="3" fontId="29" fillId="0" borderId="0" xfId="0" applyNumberFormat="1" applyFont="1" applyFill="1" applyBorder="1" applyAlignment="1">
      <alignment horizontal="centerContinuous" wrapText="1"/>
    </xf>
    <xf numFmtId="168" fontId="31" fillId="0" borderId="0" xfId="0" applyNumberFormat="1" applyFont="1" applyFill="1" applyAlignment="1">
      <alignment horizontal="center"/>
    </xf>
    <xf numFmtId="3" fontId="29" fillId="0" borderId="12" xfId="0" applyNumberFormat="1" applyFont="1" applyFill="1" applyBorder="1" applyAlignment="1">
      <alignment horizontal="centerContinuous" wrapText="1"/>
    </xf>
    <xf numFmtId="168" fontId="30" fillId="0" borderId="0" xfId="0" applyNumberFormat="1" applyFont="1" applyFill="1" applyAlignment="1">
      <alignment horizontal="center"/>
    </xf>
    <xf numFmtId="3" fontId="31" fillId="0" borderId="0" xfId="0" applyNumberFormat="1" applyFont="1" applyFill="1"/>
    <xf numFmtId="168" fontId="31" fillId="0" borderId="0" xfId="0" applyNumberFormat="1" applyFont="1" applyFill="1"/>
    <xf numFmtId="3" fontId="36" fillId="0" borderId="10" xfId="0" applyNumberFormat="1" applyFont="1" applyFill="1" applyBorder="1" applyAlignment="1">
      <alignment wrapText="1"/>
    </xf>
    <xf numFmtId="168" fontId="36" fillId="0" borderId="10" xfId="0" applyNumberFormat="1" applyFont="1" applyFill="1" applyBorder="1" applyAlignment="1">
      <alignment wrapText="1"/>
    </xf>
    <xf numFmtId="3" fontId="35" fillId="0" borderId="11" xfId="0" applyNumberFormat="1" applyFont="1" applyFill="1" applyBorder="1" applyAlignment="1">
      <alignment horizontal="center" vertical="center"/>
    </xf>
    <xf numFmtId="168" fontId="35" fillId="0" borderId="11" xfId="0" applyNumberFormat="1" applyFont="1" applyFill="1" applyBorder="1" applyAlignment="1">
      <alignment horizontal="center" vertical="center"/>
    </xf>
    <xf numFmtId="3" fontId="31" fillId="0" borderId="10" xfId="0" applyNumberFormat="1" applyFont="1" applyFill="1" applyBorder="1" applyAlignment="1">
      <alignment horizontal="center" vertical="center"/>
    </xf>
    <xf numFmtId="168" fontId="31" fillId="0" borderId="10" xfId="0" applyNumberFormat="1" applyFont="1" applyFill="1" applyBorder="1" applyAlignment="1">
      <alignment horizontal="center" vertical="center"/>
    </xf>
    <xf numFmtId="3" fontId="57" fillId="0" borderId="0" xfId="0" applyNumberFormat="1" applyFont="1" applyFill="1"/>
    <xf numFmtId="168" fontId="57" fillId="0" borderId="0" xfId="0" applyNumberFormat="1" applyFont="1" applyFill="1"/>
    <xf numFmtId="168" fontId="53" fillId="24" borderId="10" xfId="0" applyNumberFormat="1" applyFont="1" applyFill="1" applyBorder="1" applyAlignment="1">
      <alignment horizontal="center" vertical="center" wrapText="1"/>
    </xf>
    <xf numFmtId="0" fontId="57" fillId="0" borderId="0" xfId="0" applyFont="1"/>
    <xf numFmtId="168" fontId="57" fillId="0" borderId="0" xfId="0" applyNumberFormat="1" applyFont="1"/>
    <xf numFmtId="0" fontId="57" fillId="0" borderId="10" xfId="0" applyFont="1" applyBorder="1" applyAlignment="1">
      <alignment horizontal="center" vertical="center"/>
    </xf>
    <xf numFmtId="168" fontId="57" fillId="0" borderId="10" xfId="0" applyNumberFormat="1" applyFont="1" applyBorder="1" applyAlignment="1">
      <alignment horizontal="center" vertical="center"/>
    </xf>
    <xf numFmtId="0" fontId="31" fillId="24" borderId="10" xfId="0" applyFont="1" applyFill="1" applyBorder="1" applyAlignment="1">
      <alignment horizontal="center"/>
    </xf>
    <xf numFmtId="168" fontId="57" fillId="25" borderId="10" xfId="0" applyNumberFormat="1" applyFont="1" applyFill="1" applyBorder="1" applyAlignment="1">
      <alignment horizontal="center" vertical="center"/>
    </xf>
    <xf numFmtId="0" fontId="31" fillId="0" borderId="10" xfId="97" applyFont="1" applyFill="1" applyBorder="1"/>
    <xf numFmtId="0" fontId="37" fillId="24" borderId="0" xfId="0" applyFont="1" applyFill="1" applyAlignment="1">
      <alignment horizontal="center"/>
    </xf>
    <xf numFmtId="0" fontId="38" fillId="24" borderId="0" xfId="0" applyFont="1" applyFill="1" applyAlignment="1">
      <alignment horizontal="center"/>
    </xf>
    <xf numFmtId="0" fontId="29" fillId="24" borderId="0" xfId="0" applyFont="1" applyFill="1" applyBorder="1" applyAlignment="1">
      <alignment horizontal="center" wrapText="1"/>
    </xf>
    <xf numFmtId="0" fontId="31" fillId="24" borderId="10" xfId="0" applyFont="1" applyFill="1" applyBorder="1" applyAlignment="1">
      <alignment horizontal="center"/>
    </xf>
    <xf numFmtId="0" fontId="27" fillId="0" borderId="0" xfId="0" applyFont="1" applyFill="1" applyBorder="1" applyAlignment="1">
      <alignment wrapText="1"/>
    </xf>
    <xf numFmtId="0" fontId="29" fillId="0" borderId="0" xfId="0" applyFont="1" applyFill="1" applyBorder="1" applyAlignment="1">
      <alignment horizontal="centerContinuous" wrapText="1"/>
    </xf>
    <xf numFmtId="3" fontId="29" fillId="0" borderId="0" xfId="0" applyNumberFormat="1" applyFont="1" applyFill="1" applyBorder="1" applyAlignment="1">
      <alignment horizontal="center" wrapText="1"/>
    </xf>
    <xf numFmtId="168" fontId="29" fillId="0" borderId="0" xfId="0" applyNumberFormat="1" applyFont="1" applyFill="1" applyBorder="1" applyAlignment="1">
      <alignment horizontal="centerContinuous" wrapText="1"/>
    </xf>
    <xf numFmtId="0" fontId="30" fillId="0" borderId="0" xfId="0" applyFont="1" applyFill="1"/>
    <xf numFmtId="168" fontId="30" fillId="0" borderId="0" xfId="0" applyNumberFormat="1" applyFont="1" applyFill="1" applyAlignment="1">
      <alignment horizontal="center" vertical="center"/>
    </xf>
    <xf numFmtId="168" fontId="30" fillId="0" borderId="0" xfId="0" applyNumberFormat="1" applyFont="1" applyFill="1" applyAlignment="1">
      <alignment vertical="center"/>
    </xf>
    <xf numFmtId="0" fontId="28" fillId="0" borderId="0" xfId="0" applyFont="1" applyFill="1" applyBorder="1" applyAlignment="1">
      <alignment horizontal="center" wrapText="1"/>
    </xf>
    <xf numFmtId="3" fontId="32" fillId="0" borderId="0" xfId="0" applyNumberFormat="1" applyFont="1" applyFill="1" applyBorder="1" applyAlignment="1">
      <alignment horizontal="center" wrapText="1"/>
    </xf>
    <xf numFmtId="0" fontId="31" fillId="0" borderId="0" xfId="0" applyFont="1" applyFill="1"/>
    <xf numFmtId="0" fontId="43" fillId="0" borderId="12" xfId="0" applyFont="1" applyFill="1" applyBorder="1" applyAlignment="1">
      <alignment horizontal="left" wrapText="1"/>
    </xf>
    <xf numFmtId="3" fontId="33" fillId="0" borderId="12" xfId="0" applyNumberFormat="1" applyFont="1" applyFill="1" applyBorder="1" applyAlignment="1">
      <alignment horizontal="centerContinuous" wrapText="1"/>
    </xf>
    <xf numFmtId="3" fontId="34" fillId="0" borderId="12" xfId="0" applyNumberFormat="1" applyFont="1" applyFill="1" applyBorder="1" applyAlignment="1">
      <alignment horizontal="centerContinuous" wrapText="1"/>
    </xf>
    <xf numFmtId="0" fontId="29" fillId="0" borderId="12" xfId="0" applyFont="1" applyFill="1" applyBorder="1" applyAlignment="1">
      <alignment horizontal="centerContinuous" wrapText="1"/>
    </xf>
    <xf numFmtId="3" fontId="30" fillId="0" borderId="0" xfId="0" applyNumberFormat="1" applyFont="1" applyFill="1" applyAlignment="1">
      <alignment horizontal="center"/>
    </xf>
    <xf numFmtId="168" fontId="31" fillId="0" borderId="0" xfId="0" applyNumberFormat="1" applyFont="1" applyFill="1" applyAlignment="1">
      <alignment horizontal="center" vertical="center"/>
    </xf>
    <xf numFmtId="168" fontId="31" fillId="0" borderId="0" xfId="0" applyNumberFormat="1" applyFont="1" applyFill="1" applyAlignment="1">
      <alignment vertical="center"/>
    </xf>
    <xf numFmtId="0" fontId="35" fillId="0" borderId="0" xfId="0" applyFont="1" applyFill="1"/>
    <xf numFmtId="168" fontId="35" fillId="0" borderId="0" xfId="0" applyNumberFormat="1" applyFont="1" applyFill="1" applyAlignment="1">
      <alignment horizontal="center" vertical="center"/>
    </xf>
    <xf numFmtId="168" fontId="35" fillId="0" borderId="0" xfId="0" applyNumberFormat="1" applyFont="1" applyFill="1" applyAlignment="1">
      <alignment vertical="center"/>
    </xf>
    <xf numFmtId="3" fontId="36" fillId="0" borderId="10" xfId="0" applyNumberFormat="1" applyFont="1" applyFill="1" applyBorder="1" applyAlignment="1">
      <alignment horizontal="center" wrapText="1"/>
    </xf>
    <xf numFmtId="0" fontId="36" fillId="0" borderId="10" xfId="0" applyFont="1" applyFill="1" applyBorder="1" applyAlignment="1">
      <alignment wrapText="1"/>
    </xf>
    <xf numFmtId="0" fontId="31" fillId="0" borderId="10" xfId="0" applyFont="1" applyFill="1" applyBorder="1" applyAlignment="1">
      <alignment wrapText="1"/>
    </xf>
    <xf numFmtId="168" fontId="31" fillId="0" borderId="0" xfId="0" applyNumberFormat="1" applyFont="1" applyFill="1" applyAlignment="1">
      <alignment horizontal="center" vertical="center" wrapText="1"/>
    </xf>
    <xf numFmtId="0" fontId="35" fillId="0" borderId="16" xfId="0" applyFont="1" applyFill="1" applyBorder="1" applyAlignment="1">
      <alignment horizontal="center"/>
    </xf>
    <xf numFmtId="0" fontId="35" fillId="0" borderId="11" xfId="0" applyFont="1" applyFill="1" applyBorder="1" applyAlignment="1">
      <alignment horizontal="center" vertical="center"/>
    </xf>
    <xf numFmtId="3" fontId="35" fillId="0" borderId="10" xfId="0" applyNumberFormat="1" applyFont="1" applyFill="1" applyBorder="1" applyAlignment="1">
      <alignment horizontal="center" vertical="center"/>
    </xf>
    <xf numFmtId="168" fontId="35" fillId="0" borderId="10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top"/>
    </xf>
    <xf numFmtId="0" fontId="31" fillId="0" borderId="10" xfId="0" applyFont="1" applyFill="1" applyBorder="1"/>
    <xf numFmtId="0" fontId="53" fillId="0" borderId="0" xfId="0" applyFont="1" applyFill="1"/>
    <xf numFmtId="168" fontId="53" fillId="0" borderId="0" xfId="0" applyNumberFormat="1" applyFont="1" applyFill="1" applyAlignment="1">
      <alignment horizontal="center" vertical="center"/>
    </xf>
    <xf numFmtId="168" fontId="53" fillId="0" borderId="0" xfId="0" applyNumberFormat="1" applyFont="1" applyFill="1" applyAlignment="1">
      <alignment vertical="center"/>
    </xf>
    <xf numFmtId="0" fontId="57" fillId="0" borderId="0" xfId="0" applyFont="1" applyFill="1"/>
    <xf numFmtId="168" fontId="57" fillId="0" borderId="0" xfId="0" applyNumberFormat="1" applyFont="1" applyFill="1" applyAlignment="1">
      <alignment horizontal="center" vertical="center"/>
    </xf>
    <xf numFmtId="168" fontId="57" fillId="0" borderId="0" xfId="0" applyNumberFormat="1" applyFont="1" applyFill="1" applyAlignment="1">
      <alignment vertical="center"/>
    </xf>
    <xf numFmtId="0" fontId="57" fillId="0" borderId="0" xfId="0" applyFont="1" applyFill="1" applyAlignment="1">
      <alignment horizontal="center" vertical="center"/>
    </xf>
    <xf numFmtId="0" fontId="58" fillId="0" borderId="0" xfId="0" applyFont="1" applyFill="1"/>
    <xf numFmtId="0" fontId="29" fillId="24" borderId="0" xfId="0" applyFont="1" applyFill="1" applyBorder="1" applyAlignment="1">
      <alignment horizontal="center" wrapText="1"/>
    </xf>
    <xf numFmtId="0" fontId="28" fillId="24" borderId="0" xfId="0" applyFont="1" applyFill="1" applyBorder="1" applyAlignment="1">
      <alignment horizontal="center" wrapText="1"/>
    </xf>
    <xf numFmtId="0" fontId="32" fillId="24" borderId="0" xfId="0" applyFont="1" applyFill="1" applyBorder="1" applyAlignment="1">
      <alignment horizontal="center" wrapText="1"/>
    </xf>
    <xf numFmtId="0" fontId="31" fillId="24" borderId="10" xfId="0" applyFont="1" applyFill="1" applyBorder="1" applyAlignment="1">
      <alignment horizontal="center" vertical="center" wrapText="1"/>
    </xf>
    <xf numFmtId="0" fontId="38" fillId="24" borderId="10" xfId="0" applyFont="1" applyFill="1" applyBorder="1" applyAlignment="1">
      <alignment horizontal="center" vertical="center"/>
    </xf>
    <xf numFmtId="0" fontId="55" fillId="24" borderId="10" xfId="0" applyNumberFormat="1" applyFont="1" applyFill="1" applyBorder="1" applyAlignment="1">
      <alignment horizontal="center" vertical="center" wrapText="1"/>
    </xf>
    <xf numFmtId="0" fontId="34" fillId="24" borderId="10" xfId="0" applyNumberFormat="1" applyFont="1" applyFill="1" applyBorder="1" applyAlignment="1">
      <alignment horizontal="center" vertical="center" wrapText="1"/>
    </xf>
    <xf numFmtId="0" fontId="31" fillId="24" borderId="10" xfId="0" applyNumberFormat="1" applyFont="1" applyFill="1" applyBorder="1" applyAlignment="1">
      <alignment horizontal="center" vertical="center" wrapText="1"/>
    </xf>
    <xf numFmtId="0" fontId="35" fillId="24" borderId="10" xfId="0" applyFont="1" applyFill="1" applyBorder="1" applyAlignment="1">
      <alignment horizontal="center"/>
    </xf>
    <xf numFmtId="0" fontId="52" fillId="24" borderId="10" xfId="0" applyFont="1" applyFill="1" applyBorder="1" applyAlignment="1">
      <alignment horizontal="center" vertical="center"/>
    </xf>
    <xf numFmtId="0" fontId="33" fillId="24" borderId="12" xfId="0" applyFont="1" applyFill="1" applyBorder="1" applyAlignment="1">
      <alignment wrapText="1"/>
    </xf>
    <xf numFmtId="0" fontId="33" fillId="24" borderId="12" xfId="0" applyFont="1" applyFill="1" applyBorder="1" applyAlignment="1"/>
    <xf numFmtId="0" fontId="63" fillId="0" borderId="10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0" fontId="63" fillId="0" borderId="10" xfId="0" applyFont="1" applyFill="1" applyBorder="1" applyAlignment="1">
      <alignment horizontal="center" vertical="center" wrapText="1"/>
    </xf>
    <xf numFmtId="0" fontId="63" fillId="0" borderId="0" xfId="0" applyFont="1" applyFill="1"/>
    <xf numFmtId="0" fontId="34" fillId="0" borderId="10" xfId="0" applyFont="1" applyFill="1" applyBorder="1" applyAlignment="1">
      <alignment horizontal="left" vertical="center" wrapText="1"/>
    </xf>
    <xf numFmtId="0" fontId="34" fillId="0" borderId="10" xfId="0" applyFont="1" applyFill="1" applyBorder="1" applyAlignment="1">
      <alignment horizontal="left" vertical="center"/>
    </xf>
    <xf numFmtId="1" fontId="34" fillId="0" borderId="10" xfId="0" applyNumberFormat="1" applyFont="1" applyFill="1" applyBorder="1" applyAlignment="1">
      <alignment horizontal="center" vertical="center"/>
    </xf>
    <xf numFmtId="0" fontId="34" fillId="0" borderId="10" xfId="0" applyFont="1" applyFill="1" applyBorder="1"/>
    <xf numFmtId="0" fontId="63" fillId="0" borderId="0" xfId="0" applyFont="1" applyFill="1" applyAlignment="1">
      <alignment horizontal="center" vertical="center"/>
    </xf>
    <xf numFmtId="0" fontId="31" fillId="0" borderId="10" xfId="68" applyFont="1" applyFill="1" applyBorder="1"/>
    <xf numFmtId="166" fontId="31" fillId="0" borderId="10" xfId="0" applyNumberFormat="1" applyFont="1" applyFill="1" applyBorder="1" applyAlignment="1">
      <alignment horizontal="center" vertical="center" wrapText="1"/>
    </xf>
    <xf numFmtId="168" fontId="56" fillId="24" borderId="0" xfId="0" applyNumberFormat="1" applyFont="1" applyFill="1"/>
    <xf numFmtId="168" fontId="31" fillId="25" borderId="10" xfId="0" applyNumberFormat="1" applyFont="1" applyFill="1" applyBorder="1" applyAlignment="1">
      <alignment horizontal="center" vertical="center"/>
    </xf>
    <xf numFmtId="0" fontId="31" fillId="26" borderId="10" xfId="0" applyFont="1" applyFill="1" applyBorder="1"/>
    <xf numFmtId="0" fontId="31" fillId="26" borderId="10" xfId="68" applyFont="1" applyFill="1" applyBorder="1"/>
    <xf numFmtId="0" fontId="31" fillId="26" borderId="27" xfId="0" applyFont="1" applyFill="1" applyBorder="1"/>
    <xf numFmtId="168" fontId="42" fillId="24" borderId="10" xfId="0" applyNumberFormat="1" applyFont="1" applyFill="1" applyBorder="1"/>
    <xf numFmtId="168" fontId="30" fillId="24" borderId="10" xfId="68" applyNumberFormat="1" applyFont="1" applyFill="1" applyBorder="1"/>
    <xf numFmtId="168" fontId="30" fillId="24" borderId="10" xfId="0" applyNumberFormat="1" applyFont="1" applyFill="1" applyBorder="1"/>
    <xf numFmtId="168" fontId="31" fillId="24" borderId="10" xfId="68" applyNumberFormat="1" applyFont="1" applyFill="1" applyBorder="1"/>
    <xf numFmtId="168" fontId="34" fillId="24" borderId="10" xfId="0" applyNumberFormat="1" applyFont="1" applyFill="1" applyBorder="1"/>
    <xf numFmtId="168" fontId="60" fillId="24" borderId="10" xfId="42" applyNumberFormat="1" applyFont="1" applyFill="1" applyBorder="1"/>
    <xf numFmtId="168" fontId="45" fillId="24" borderId="10" xfId="0" applyNumberFormat="1" applyFont="1" applyFill="1" applyBorder="1"/>
    <xf numFmtId="168" fontId="57" fillId="24" borderId="0" xfId="0" applyNumberFormat="1" applyFont="1" applyFill="1"/>
    <xf numFmtId="168" fontId="31" fillId="24" borderId="10" xfId="0" applyNumberFormat="1" applyFont="1" applyFill="1" applyBorder="1" applyAlignment="1">
      <alignment wrapText="1"/>
    </xf>
    <xf numFmtId="168" fontId="37" fillId="24" borderId="10" xfId="0" applyNumberFormat="1" applyFont="1" applyFill="1" applyBorder="1" applyAlignment="1">
      <alignment wrapText="1"/>
    </xf>
    <xf numFmtId="168" fontId="30" fillId="24" borderId="0" xfId="0" applyNumberFormat="1" applyFont="1" applyFill="1"/>
    <xf numFmtId="168" fontId="44" fillId="24" borderId="10" xfId="0" applyNumberFormat="1" applyFont="1" applyFill="1" applyBorder="1"/>
    <xf numFmtId="168" fontId="34" fillId="24" borderId="31" xfId="0" applyNumberFormat="1" applyFont="1" applyFill="1" applyBorder="1"/>
    <xf numFmtId="168" fontId="31" fillId="24" borderId="0" xfId="0" applyNumberFormat="1" applyFont="1" applyFill="1"/>
    <xf numFmtId="168" fontId="36" fillId="24" borderId="10" xfId="42" applyNumberFormat="1" applyFont="1" applyFill="1" applyBorder="1"/>
    <xf numFmtId="3" fontId="31" fillId="24" borderId="10" xfId="0" applyNumberFormat="1" applyFont="1" applyFill="1" applyBorder="1" applyAlignment="1">
      <alignment horizontal="center" vertical="center"/>
    </xf>
    <xf numFmtId="3" fontId="31" fillId="24" borderId="10" xfId="97" applyNumberFormat="1" applyFont="1" applyFill="1" applyBorder="1"/>
    <xf numFmtId="3" fontId="31" fillId="0" borderId="10" xfId="97" applyNumberFormat="1" applyFont="1" applyFill="1" applyBorder="1"/>
    <xf numFmtId="3" fontId="34" fillId="24" borderId="10" xfId="0" applyNumberFormat="1" applyFont="1" applyFill="1" applyBorder="1"/>
    <xf numFmtId="3" fontId="31" fillId="24" borderId="10" xfId="68" applyNumberFormat="1" applyFont="1" applyFill="1" applyBorder="1"/>
    <xf numFmtId="3" fontId="31" fillId="0" borderId="10" xfId="68" applyNumberFormat="1" applyFont="1" applyFill="1" applyBorder="1"/>
    <xf numFmtId="3" fontId="31" fillId="24" borderId="10" xfId="68" applyNumberFormat="1" applyFont="1" applyFill="1" applyBorder="1" applyAlignment="1">
      <alignment horizontal="right"/>
    </xf>
    <xf numFmtId="3" fontId="31" fillId="25" borderId="10" xfId="68" applyNumberFormat="1" applyFont="1" applyFill="1" applyBorder="1" applyAlignment="1">
      <alignment horizontal="right"/>
    </xf>
    <xf numFmtId="0" fontId="35" fillId="24" borderId="0" xfId="0" applyFont="1" applyFill="1" applyAlignment="1">
      <alignment horizontal="center" vertical="center"/>
    </xf>
    <xf numFmtId="0" fontId="31" fillId="24" borderId="0" xfId="0" applyFont="1" applyFill="1" applyAlignment="1">
      <alignment horizontal="center" vertical="center"/>
    </xf>
    <xf numFmtId="0" fontId="31" fillId="24" borderId="10" xfId="0" applyFont="1" applyFill="1" applyBorder="1" applyAlignment="1">
      <alignment horizontal="center" vertical="center"/>
    </xf>
    <xf numFmtId="0" fontId="31" fillId="24" borderId="0" xfId="68" applyFont="1" applyFill="1" applyAlignment="1">
      <alignment horizontal="center" vertical="center"/>
    </xf>
    <xf numFmtId="0" fontId="31" fillId="24" borderId="0" xfId="41" applyFont="1" applyFill="1" applyAlignment="1">
      <alignment horizontal="center" vertical="center"/>
    </xf>
    <xf numFmtId="0" fontId="27" fillId="24" borderId="0" xfId="0" applyFont="1" applyFill="1" applyBorder="1" applyAlignment="1">
      <alignment horizontal="center" vertical="center" wrapText="1"/>
    </xf>
    <xf numFmtId="0" fontId="34" fillId="24" borderId="10" xfId="0" applyFont="1" applyFill="1" applyBorder="1" applyAlignment="1">
      <alignment horizontal="center" vertical="center"/>
    </xf>
    <xf numFmtId="168" fontId="31" fillId="24" borderId="0" xfId="68" applyNumberFormat="1" applyFont="1" applyFill="1" applyAlignment="1">
      <alignment horizontal="center"/>
    </xf>
    <xf numFmtId="1" fontId="31" fillId="24" borderId="0" xfId="68" applyNumberFormat="1" applyFont="1" applyFill="1" applyAlignment="1">
      <alignment horizontal="center"/>
    </xf>
    <xf numFmtId="0" fontId="31" fillId="24" borderId="31" xfId="0" applyFont="1" applyFill="1" applyBorder="1" applyAlignment="1">
      <alignment horizontal="center" vertical="center"/>
    </xf>
    <xf numFmtId="168" fontId="31" fillId="24" borderId="0" xfId="68" applyNumberFormat="1" applyFont="1" applyFill="1"/>
    <xf numFmtId="168" fontId="30" fillId="24" borderId="0" xfId="68" applyNumberFormat="1" applyFont="1" applyFill="1"/>
    <xf numFmtId="168" fontId="34" fillId="24" borderId="29" xfId="0" applyNumberFormat="1" applyFont="1" applyFill="1" applyBorder="1"/>
    <xf numFmtId="168" fontId="31" fillId="24" borderId="0" xfId="68" applyNumberFormat="1" applyFont="1" applyFill="1" applyAlignment="1">
      <alignment wrapText="1"/>
    </xf>
    <xf numFmtId="168" fontId="54" fillId="24" borderId="10" xfId="0" applyNumberFormat="1" applyFont="1" applyFill="1" applyBorder="1"/>
    <xf numFmtId="0" fontId="46" fillId="26" borderId="10" xfId="0" applyFont="1" applyFill="1" applyBorder="1"/>
    <xf numFmtId="3" fontId="31" fillId="26" borderId="10" xfId="0" applyNumberFormat="1" applyFont="1" applyFill="1" applyBorder="1" applyAlignment="1">
      <alignment horizontal="center" vertical="center"/>
    </xf>
    <xf numFmtId="168" fontId="31" fillId="26" borderId="10" xfId="0" applyNumberFormat="1" applyFont="1" applyFill="1" applyBorder="1" applyAlignment="1">
      <alignment horizontal="center" vertical="center"/>
    </xf>
    <xf numFmtId="0" fontId="36" fillId="26" borderId="10" xfId="0" applyFont="1" applyFill="1" applyBorder="1"/>
    <xf numFmtId="0" fontId="31" fillId="26" borderId="10" xfId="0" applyFont="1" applyFill="1" applyBorder="1" applyAlignment="1">
      <alignment vertical="center"/>
    </xf>
    <xf numFmtId="0" fontId="31" fillId="26" borderId="10" xfId="0" applyFont="1" applyFill="1" applyBorder="1" applyAlignment="1">
      <alignment horizontal="left" vertical="center" wrapText="1"/>
    </xf>
    <xf numFmtId="3" fontId="31" fillId="26" borderId="10" xfId="0" applyNumberFormat="1" applyFont="1" applyFill="1" applyBorder="1" applyAlignment="1">
      <alignment horizontal="center" vertical="center" wrapText="1"/>
    </xf>
    <xf numFmtId="168" fontId="31" fillId="26" borderId="10" xfId="0" applyNumberFormat="1" applyFont="1" applyFill="1" applyBorder="1" applyAlignment="1">
      <alignment horizontal="center" vertical="center" wrapText="1"/>
    </xf>
    <xf numFmtId="0" fontId="29" fillId="24" borderId="0" xfId="0" applyFont="1" applyFill="1" applyBorder="1" applyAlignment="1">
      <alignment horizontal="center" wrapText="1"/>
    </xf>
    <xf numFmtId="0" fontId="37" fillId="24" borderId="0" xfId="0" applyFont="1" applyFill="1" applyAlignment="1">
      <alignment horizontal="center"/>
    </xf>
    <xf numFmtId="0" fontId="38" fillId="24" borderId="0" xfId="0" applyFont="1" applyFill="1" applyAlignment="1">
      <alignment horizontal="center"/>
    </xf>
    <xf numFmtId="0" fontId="40" fillId="24" borderId="0" xfId="0" applyFont="1" applyFill="1" applyBorder="1" applyAlignment="1">
      <alignment horizontal="center" wrapText="1"/>
    </xf>
    <xf numFmtId="0" fontId="31" fillId="0" borderId="1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wrapText="1"/>
    </xf>
    <xf numFmtId="0" fontId="29" fillId="0" borderId="0" xfId="0" applyFont="1" applyFill="1" applyBorder="1" applyAlignment="1">
      <alignment horizontal="center" wrapText="1"/>
    </xf>
    <xf numFmtId="0" fontId="37" fillId="0" borderId="0" xfId="0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31" fillId="0" borderId="31" xfId="0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/>
    </xf>
    <xf numFmtId="0" fontId="38" fillId="24" borderId="0" xfId="0" applyFont="1" applyFill="1" applyAlignment="1">
      <alignment horizontal="center" wrapText="1"/>
    </xf>
    <xf numFmtId="0" fontId="31" fillId="0" borderId="19" xfId="0" applyFont="1" applyBorder="1" applyAlignment="1">
      <alignment horizontal="left" vertical="center"/>
    </xf>
    <xf numFmtId="0" fontId="31" fillId="0" borderId="26" xfId="0" applyFont="1" applyBorder="1" applyAlignment="1">
      <alignment horizontal="left" vertical="center"/>
    </xf>
    <xf numFmtId="0" fontId="31" fillId="0" borderId="27" xfId="0" applyFont="1" applyBorder="1" applyAlignment="1">
      <alignment horizontal="left" vertical="center"/>
    </xf>
    <xf numFmtId="0" fontId="28" fillId="24" borderId="0" xfId="0" applyFont="1" applyFill="1" applyBorder="1" applyAlignment="1">
      <alignment horizontal="center" wrapText="1"/>
    </xf>
    <xf numFmtId="0" fontId="32" fillId="24" borderId="0" xfId="0" applyFont="1" applyFill="1" applyBorder="1" applyAlignment="1">
      <alignment horizontal="center" wrapText="1"/>
    </xf>
    <xf numFmtId="0" fontId="31" fillId="24" borderId="10" xfId="68" applyFont="1" applyFill="1" applyBorder="1" applyAlignment="1">
      <alignment horizontal="center" vertical="center" wrapText="1"/>
    </xf>
    <xf numFmtId="0" fontId="31" fillId="24" borderId="31" xfId="68" applyFont="1" applyFill="1" applyBorder="1" applyAlignment="1">
      <alignment horizontal="center" vertical="center" wrapText="1"/>
    </xf>
    <xf numFmtId="0" fontId="31" fillId="24" borderId="39" xfId="68" applyFont="1" applyFill="1" applyBorder="1" applyAlignment="1">
      <alignment horizontal="center" vertical="center" wrapText="1"/>
    </xf>
    <xf numFmtId="0" fontId="35" fillId="24" borderId="0" xfId="0" applyFont="1" applyFill="1" applyAlignment="1">
      <alignment horizontal="center" wrapText="1"/>
    </xf>
    <xf numFmtId="0" fontId="31" fillId="24" borderId="19" xfId="68" applyFont="1" applyFill="1" applyBorder="1" applyAlignment="1">
      <alignment horizontal="center" vertical="center" wrapText="1"/>
    </xf>
    <xf numFmtId="0" fontId="31" fillId="24" borderId="27" xfId="68" applyFont="1" applyFill="1" applyBorder="1" applyAlignment="1">
      <alignment horizontal="center" vertical="center" wrapText="1"/>
    </xf>
    <xf numFmtId="0" fontId="31" fillId="24" borderId="26" xfId="68" applyFont="1" applyFill="1" applyBorder="1" applyAlignment="1">
      <alignment horizontal="center" vertical="center" wrapText="1"/>
    </xf>
    <xf numFmtId="0" fontId="34" fillId="24" borderId="19" xfId="0" applyFont="1" applyFill="1" applyBorder="1" applyAlignment="1">
      <alignment horizontal="center" vertical="center"/>
    </xf>
    <xf numFmtId="0" fontId="34" fillId="24" borderId="27" xfId="0" applyFont="1" applyFill="1" applyBorder="1" applyAlignment="1">
      <alignment horizontal="center" vertical="center"/>
    </xf>
    <xf numFmtId="0" fontId="31" fillId="24" borderId="31" xfId="0" applyFont="1" applyFill="1" applyBorder="1" applyAlignment="1">
      <alignment horizontal="center" vertical="center" wrapText="1"/>
    </xf>
    <xf numFmtId="0" fontId="31" fillId="24" borderId="39" xfId="0" applyFont="1" applyFill="1" applyBorder="1" applyAlignment="1">
      <alignment horizontal="center" vertical="center" wrapText="1"/>
    </xf>
    <xf numFmtId="0" fontId="31" fillId="24" borderId="19" xfId="0" applyFont="1" applyFill="1" applyBorder="1" applyAlignment="1">
      <alignment horizontal="center" vertical="center" wrapText="1"/>
    </xf>
    <xf numFmtId="0" fontId="31" fillId="24" borderId="26" xfId="0" applyFont="1" applyFill="1" applyBorder="1" applyAlignment="1">
      <alignment horizontal="center" vertical="center" wrapText="1"/>
    </xf>
    <xf numFmtId="0" fontId="31" fillId="24" borderId="27" xfId="0" applyFont="1" applyFill="1" applyBorder="1" applyAlignment="1">
      <alignment horizontal="center" vertical="center" wrapText="1"/>
    </xf>
    <xf numFmtId="0" fontId="31" fillId="24" borderId="19" xfId="0" applyFont="1" applyFill="1" applyBorder="1" applyAlignment="1">
      <alignment horizontal="left" vertical="center"/>
    </xf>
    <xf numFmtId="0" fontId="31" fillId="24" borderId="27" xfId="0" applyFont="1" applyFill="1" applyBorder="1" applyAlignment="1">
      <alignment horizontal="left" vertical="center"/>
    </xf>
    <xf numFmtId="0" fontId="31" fillId="24" borderId="26" xfId="0" applyFont="1" applyFill="1" applyBorder="1" applyAlignment="1">
      <alignment horizontal="left" vertical="center"/>
    </xf>
    <xf numFmtId="0" fontId="31" fillId="24" borderId="10" xfId="0" applyFont="1" applyFill="1" applyBorder="1" applyAlignment="1">
      <alignment horizontal="center" vertical="center" wrapText="1"/>
    </xf>
    <xf numFmtId="0" fontId="31" fillId="24" borderId="24" xfId="0" applyFont="1" applyFill="1" applyBorder="1" applyAlignment="1">
      <alignment horizontal="center"/>
    </xf>
    <xf numFmtId="0" fontId="33" fillId="24" borderId="12" xfId="0" applyFont="1" applyFill="1" applyBorder="1" applyAlignment="1">
      <alignment horizontal="center" wrapText="1"/>
    </xf>
    <xf numFmtId="0" fontId="31" fillId="24" borderId="19" xfId="0" applyFont="1" applyFill="1" applyBorder="1" applyAlignment="1">
      <alignment horizontal="left" vertical="center" wrapText="1"/>
    </xf>
    <xf numFmtId="0" fontId="31" fillId="24" borderId="27" xfId="0" applyFont="1" applyFill="1" applyBorder="1" applyAlignment="1">
      <alignment horizontal="left" vertical="center" wrapText="1"/>
    </xf>
    <xf numFmtId="0" fontId="37" fillId="24" borderId="0" xfId="0" applyFont="1" applyFill="1" applyBorder="1" applyAlignment="1">
      <alignment horizontal="center" wrapText="1"/>
    </xf>
    <xf numFmtId="0" fontId="31" fillId="24" borderId="17" xfId="0" applyFont="1" applyFill="1" applyBorder="1" applyAlignment="1">
      <alignment horizontal="center" vertical="center" wrapText="1"/>
    </xf>
    <xf numFmtId="0" fontId="31" fillId="24" borderId="36" xfId="0" applyFont="1" applyFill="1" applyBorder="1" applyAlignment="1">
      <alignment horizontal="center" vertical="center" wrapText="1"/>
    </xf>
    <xf numFmtId="0" fontId="31" fillId="24" borderId="40" xfId="0" applyFont="1" applyFill="1" applyBorder="1" applyAlignment="1">
      <alignment horizontal="center" vertical="center" wrapText="1"/>
    </xf>
    <xf numFmtId="0" fontId="34" fillId="24" borderId="19" xfId="0" applyNumberFormat="1" applyFont="1" applyFill="1" applyBorder="1" applyAlignment="1">
      <alignment horizontal="center" vertical="center" wrapText="1"/>
    </xf>
    <xf numFmtId="0" fontId="34" fillId="24" borderId="26" xfId="0" applyNumberFormat="1" applyFont="1" applyFill="1" applyBorder="1" applyAlignment="1">
      <alignment horizontal="center" vertical="center" wrapText="1"/>
    </xf>
    <xf numFmtId="0" fontId="34" fillId="24" borderId="27" xfId="0" applyNumberFormat="1" applyFont="1" applyFill="1" applyBorder="1" applyAlignment="1">
      <alignment horizontal="center" vertical="center" wrapText="1"/>
    </xf>
  </cellXfs>
  <cellStyles count="10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 2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" xfId="0" builtinId="0"/>
    <cellStyle name="Normal 2" xfId="38"/>
    <cellStyle name="Normal 2 2" xfId="39"/>
    <cellStyle name="Normal 2 2 2" xfId="40"/>
    <cellStyle name="Normal 2 2 2 2" xfId="41"/>
    <cellStyle name="Normal 2 2 3" xfId="42"/>
    <cellStyle name="Normal 2 3" xfId="43"/>
    <cellStyle name="Normal 2 4" xfId="44"/>
    <cellStyle name="Normal 2 5" xfId="45"/>
    <cellStyle name="Normal 3" xfId="46"/>
    <cellStyle name="Normal 3 2" xfId="47"/>
    <cellStyle name="Normal 3 2 2" xfId="48"/>
    <cellStyle name="Normal 3 3" xfId="49"/>
    <cellStyle name="Normal 3 4" xfId="50"/>
    <cellStyle name="Normal 4" xfId="51"/>
    <cellStyle name="Normal 4 2" xfId="52"/>
    <cellStyle name="Normal 4 2 2" xfId="53"/>
    <cellStyle name="Normal 4 3" xfId="54"/>
    <cellStyle name="Normal 4 4" xfId="55"/>
    <cellStyle name="Normal 5" xfId="56"/>
    <cellStyle name="Normal 6" xfId="57"/>
    <cellStyle name="Note" xfId="58"/>
    <cellStyle name="Output" xfId="59"/>
    <cellStyle name="Percent 2" xfId="60"/>
    <cellStyle name="Style 1" xfId="61"/>
    <cellStyle name="Title" xfId="62"/>
    <cellStyle name="Total" xfId="63"/>
    <cellStyle name="Warning Text" xfId="64"/>
    <cellStyle name="Гиперссылка_Bls-2-06NN" xfId="65"/>
    <cellStyle name="Денежный 2" xfId="66"/>
    <cellStyle name="Обычный 10" xfId="67"/>
    <cellStyle name="Обычный 2" xfId="68"/>
    <cellStyle name="Обычный 2 2" xfId="69"/>
    <cellStyle name="Обычный 2 2 2" xfId="70"/>
    <cellStyle name="Обычный 2 2 2 2" xfId="71"/>
    <cellStyle name="Обычный 2 2 2 2 2" xfId="72"/>
    <cellStyle name="Обычный 2 2 2 3" xfId="73"/>
    <cellStyle name="Обычный 2 2 2 3 2" xfId="74"/>
    <cellStyle name="Обычный 2 2 3" xfId="75"/>
    <cellStyle name="Обычный 2 2 3 2" xfId="76"/>
    <cellStyle name="Обычный 2 3" xfId="77"/>
    <cellStyle name="Обычный 2 3 2" xfId="78"/>
    <cellStyle name="Обычный 2 4" xfId="79"/>
    <cellStyle name="Обычный 2 4 2" xfId="80"/>
    <cellStyle name="Обычный 3" xfId="81"/>
    <cellStyle name="Обычный 3 2" xfId="82"/>
    <cellStyle name="Обычный 3 2 2" xfId="83"/>
    <cellStyle name="Обычный 3 3" xfId="84"/>
    <cellStyle name="Обычный 4" xfId="85"/>
    <cellStyle name="Обычный 4 2" xfId="86"/>
    <cellStyle name="Обычный 4 2 2" xfId="87"/>
    <cellStyle name="Обычный 4 2 3" xfId="88"/>
    <cellStyle name="Обычный 4 3" xfId="89"/>
    <cellStyle name="Обычный 5" xfId="90"/>
    <cellStyle name="Обычный 5 2" xfId="91"/>
    <cellStyle name="Обычный 6" xfId="92"/>
    <cellStyle name="Обычный 7" xfId="93"/>
    <cellStyle name="Обычный 7 2" xfId="94"/>
    <cellStyle name="Обычный 8" xfId="95"/>
    <cellStyle name="Обычный 9" xfId="96"/>
    <cellStyle name="Обычный_9.Mal.Hayt(2)" xfId="97"/>
    <cellStyle name="Обычный_9.Mal.Hayt(2) 2 2" xfId="98"/>
    <cellStyle name="Открывавшаяся гиперссылка_Bls-2-06NN" xfId="99"/>
    <cellStyle name="Процентный 2" xfId="100"/>
    <cellStyle name="Стиль 1" xfId="101"/>
    <cellStyle name="Стиль 1 2" xfId="102"/>
    <cellStyle name="Финансовый 2" xfId="103"/>
    <cellStyle name="Финансовый 2 2" xfId="104"/>
    <cellStyle name="Финансовый 3" xfId="105"/>
    <cellStyle name="Финансовый 4" xfId="106"/>
  </cellStyles>
  <dxfs count="26">
    <dxf>
      <font>
        <condense val="0"/>
        <extend val="0"/>
        <color indexed="9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49\Welcome\&#1052;&#1086;&#1080;%20&#1076;&#1086;&#1082;&#1091;&#1084;&#1077;&#1085;&#1090;&#1099;\Dat-03\Balance-Form-03\My%20Documents\200%20X\Ex-2003\Date\New\Bal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49\Welcome\Documents%20and%20Settings\&#1040;&#1076;&#1084;&#1080;&#1085;&#1080;&#1089;&#1090;&#1088;&#1072;&#1090;&#1086;&#1088;\&#1056;&#1072;&#1073;&#1086;&#1095;&#1080;&#1081;%20&#1089;&#1090;&#1086;&#1083;\2011\Naxahashiv\2011%20Naxahashv%20kazmelu%20hamar%20himq\Ampop\2011i%20byujeic\&#1052;&#1086;&#1080;%20&#1076;&#1086;&#1082;&#1091;&#1084;&#1077;&#1085;&#1090;&#1099;\Dat-03\Balance-Form-03\My%20Documents\200%20X\Ex-2003\Date\New\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49\Welcome\Documents%20and%20Settings\&#1040;&#1076;&#1084;&#1080;&#1085;&#1080;&#1089;&#1090;&#1088;&#1072;&#1090;&#1086;&#1088;\Application%20Data\Microsoft\Excel\&#1052;&#1086;&#1080;%20&#1076;&#1086;&#1082;&#1091;&#1084;&#1077;&#1085;&#1090;&#1099;\Dat-03\Balance-Form-03\My%20Documents\200%20X\Ex-2003\Date\New\Balan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143\Welcome1\&#1052;&#1086;&#1080;%20&#1076;&#1086;&#1082;&#1091;&#1084;&#1077;&#1085;&#1090;&#1099;\Dat-03\Balance-Form-03\My%20Documents\200%20X\Ex-2003\Date\New\Bal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49\Welcome\Documents%20and%20Settings\Lusine\Application%20Data\Microsoft\Excel\&#1052;&#1086;&#1080;%20&#1076;&#1086;&#1082;&#1091;&#1084;&#1077;&#1085;&#1090;&#1099;\Dat-03\Balance-Form-03\My%20Documents\200%20X\Ex-2003\Date\New\Bala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-1"/>
      <sheetName val="Bl-2"/>
      <sheetName val="Bl-21"/>
      <sheetName val="Bl-4"/>
      <sheetName val="Bl-3"/>
      <sheetName val="Bl-532"/>
      <sheetName val="Bl-5322"/>
      <sheetName val="Bl-533"/>
      <sheetName val="Bl-535"/>
      <sheetName val="AUDIT"/>
    </sheetNames>
    <sheetDataSet>
      <sheetData sheetId="0">
        <row r="1">
          <cell r="E1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-1"/>
      <sheetName val="Bl-2"/>
      <sheetName val="Bl-21"/>
      <sheetName val="Bl-4"/>
      <sheetName val="Bl-3"/>
      <sheetName val="Bl-532"/>
      <sheetName val="Bl-5322"/>
      <sheetName val="Bl-533"/>
      <sheetName val="Bl-535"/>
      <sheetName val="AUDIT"/>
    </sheetNames>
    <sheetDataSet>
      <sheetData sheetId="0">
        <row r="1">
          <cell r="E1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-1"/>
      <sheetName val="Bl-2"/>
      <sheetName val="Bl-21"/>
      <sheetName val="Bl-4"/>
      <sheetName val="Bl-3"/>
      <sheetName val="Bl-532"/>
      <sheetName val="Bl-5322"/>
      <sheetName val="Bl-533"/>
      <sheetName val="Bl-535"/>
      <sheetName val="AUDIT"/>
    </sheetNames>
    <sheetDataSet>
      <sheetData sheetId="0">
        <row r="1">
          <cell r="E1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-1"/>
      <sheetName val="Bl-2"/>
      <sheetName val="Bl-21"/>
      <sheetName val="Bl-4"/>
      <sheetName val="Bl-3"/>
      <sheetName val="Bl-532"/>
      <sheetName val="Bl-5322"/>
      <sheetName val="Bl-533"/>
      <sheetName val="Bl-535"/>
      <sheetName val="AUDIT"/>
    </sheetNames>
    <sheetDataSet>
      <sheetData sheetId="0">
        <row r="1">
          <cell r="E1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-1"/>
      <sheetName val="Bl-2"/>
      <sheetName val="Bl-21"/>
      <sheetName val="Bl-4"/>
      <sheetName val="Bl-3"/>
      <sheetName val="Bl-532"/>
      <sheetName val="Bl-5322"/>
      <sheetName val="Bl-533"/>
      <sheetName val="Bl-535"/>
      <sheetName val="AUDIT"/>
    </sheetNames>
    <sheetDataSet>
      <sheetData sheetId="0">
        <row r="1">
          <cell r="E1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B1:Y32"/>
  <sheetViews>
    <sheetView tabSelected="1" topLeftCell="A6" zoomScaleNormal="100" workbookViewId="0">
      <pane xSplit="15" ySplit="4" topLeftCell="S10" activePane="bottomRight" state="frozen"/>
      <selection activeCell="A6" sqref="A6"/>
      <selection pane="topRight" activeCell="P6" sqref="P6"/>
      <selection pane="bottomLeft" activeCell="A10" sqref="A10"/>
      <selection pane="bottomRight" activeCell="R32" sqref="R32"/>
    </sheetView>
  </sheetViews>
  <sheetFormatPr defaultColWidth="1.7109375" defaultRowHeight="16.5"/>
  <cols>
    <col min="1" max="1" width="1.7109375" style="69"/>
    <col min="2" max="2" width="4.85546875" style="69" hidden="1" customWidth="1"/>
    <col min="3" max="3" width="31.42578125" style="69" hidden="1" customWidth="1"/>
    <col min="4" max="4" width="13.85546875" style="69" hidden="1" customWidth="1"/>
    <col min="5" max="5" width="12" style="69" hidden="1" customWidth="1"/>
    <col min="6" max="6" width="11.85546875" style="69" hidden="1" customWidth="1"/>
    <col min="7" max="7" width="9.5703125" style="69" hidden="1" customWidth="1"/>
    <col min="8" max="8" width="11.7109375" style="69" hidden="1" customWidth="1"/>
    <col min="9" max="9" width="13" style="69" hidden="1" customWidth="1"/>
    <col min="10" max="10" width="8.5703125" style="69" hidden="1" customWidth="1"/>
    <col min="11" max="11" width="9.140625" style="69" hidden="1" customWidth="1"/>
    <col min="12" max="12" width="12.42578125" style="69" hidden="1" customWidth="1"/>
    <col min="13" max="13" width="4" style="69" hidden="1" customWidth="1"/>
    <col min="14" max="14" width="4.85546875" style="69" bestFit="1" customWidth="1"/>
    <col min="15" max="15" width="31.42578125" style="69" bestFit="1" customWidth="1"/>
    <col min="16" max="16" width="14.28515625" style="69" customWidth="1"/>
    <col min="17" max="17" width="13.140625" style="69" customWidth="1"/>
    <col min="18" max="18" width="14.140625" style="69" customWidth="1"/>
    <col min="19" max="19" width="11" style="69" customWidth="1"/>
    <col min="20" max="20" width="6.42578125" style="69" customWidth="1"/>
    <col min="21" max="21" width="12.140625" style="69" bestFit="1" customWidth="1"/>
    <col min="22" max="22" width="10.5703125" style="69" customWidth="1"/>
    <col min="23" max="23" width="11.5703125" style="69" customWidth="1"/>
    <col min="24" max="24" width="12.5703125" style="69" customWidth="1"/>
    <col min="25" max="25" width="13.140625" style="69" hidden="1" customWidth="1"/>
    <col min="26" max="48" width="13.140625" style="69" customWidth="1"/>
    <col min="49" max="16384" width="1.7109375" style="69"/>
  </cols>
  <sheetData>
    <row r="1" spans="2:25" s="7" customFormat="1" ht="17.25">
      <c r="B1" s="4"/>
      <c r="C1" s="317"/>
      <c r="D1" s="317"/>
      <c r="E1" s="317"/>
      <c r="F1" s="317"/>
      <c r="G1" s="5"/>
      <c r="H1" s="64" t="s">
        <v>25</v>
      </c>
      <c r="I1" s="64"/>
      <c r="J1" s="200"/>
      <c r="K1" s="6"/>
      <c r="L1" s="64"/>
      <c r="N1" s="4"/>
      <c r="O1" s="317"/>
      <c r="P1" s="317"/>
      <c r="Q1" s="317"/>
      <c r="R1" s="317"/>
      <c r="S1" s="5"/>
      <c r="T1" s="174" t="s">
        <v>25</v>
      </c>
      <c r="U1" s="174"/>
      <c r="V1" s="200"/>
      <c r="W1" s="6"/>
      <c r="X1" s="174"/>
    </row>
    <row r="2" spans="2:25" s="7" customFormat="1" ht="17.25">
      <c r="B2" s="4"/>
      <c r="C2" s="61"/>
      <c r="D2" s="8"/>
      <c r="E2" s="8"/>
      <c r="F2" s="8"/>
      <c r="G2" s="314" t="s">
        <v>21</v>
      </c>
      <c r="H2" s="314"/>
      <c r="I2" s="314"/>
      <c r="J2" s="200"/>
      <c r="K2" s="6"/>
      <c r="N2" s="4"/>
      <c r="O2" s="172"/>
      <c r="P2" s="175"/>
      <c r="Q2" s="175"/>
      <c r="R2" s="175"/>
      <c r="S2" s="314" t="s">
        <v>21</v>
      </c>
      <c r="T2" s="314"/>
      <c r="U2" s="314"/>
      <c r="V2" s="200"/>
      <c r="W2" s="6"/>
    </row>
    <row r="3" spans="2:25" s="7" customFormat="1" ht="18" thickBot="1">
      <c r="C3" s="9" t="s">
        <v>65</v>
      </c>
      <c r="D3" s="10" t="s">
        <v>156</v>
      </c>
      <c r="E3" s="11"/>
      <c r="F3" s="11"/>
      <c r="G3" s="11"/>
      <c r="H3" s="13"/>
      <c r="I3" s="5"/>
      <c r="J3" s="5"/>
      <c r="K3" s="6"/>
      <c r="L3" s="5"/>
      <c r="O3" s="9" t="s">
        <v>65</v>
      </c>
      <c r="P3" s="10" t="s">
        <v>156</v>
      </c>
      <c r="Q3" s="11"/>
      <c r="R3" s="11"/>
      <c r="S3" s="11"/>
      <c r="T3" s="13"/>
      <c r="U3" s="5"/>
      <c r="V3" s="5"/>
      <c r="W3" s="6"/>
      <c r="X3" s="5"/>
    </row>
    <row r="4" spans="2:25" s="7" customFormat="1" ht="13.5">
      <c r="K4" s="6"/>
      <c r="W4" s="6"/>
    </row>
    <row r="5" spans="2:25" s="14" customFormat="1">
      <c r="B5" s="315" t="s">
        <v>53</v>
      </c>
      <c r="C5" s="315"/>
      <c r="D5" s="315"/>
      <c r="E5" s="315"/>
      <c r="F5" s="315"/>
      <c r="G5" s="315"/>
      <c r="H5" s="315"/>
      <c r="I5" s="315"/>
      <c r="J5" s="198"/>
      <c r="K5" s="6"/>
      <c r="N5" s="315" t="s">
        <v>53</v>
      </c>
      <c r="O5" s="315"/>
      <c r="P5" s="315"/>
      <c r="Q5" s="315"/>
      <c r="R5" s="315"/>
      <c r="S5" s="315"/>
      <c r="T5" s="315"/>
      <c r="U5" s="315"/>
      <c r="V5" s="198"/>
      <c r="W5" s="6"/>
    </row>
    <row r="6" spans="2:25" s="14" customFormat="1">
      <c r="B6" s="316" t="s">
        <v>222</v>
      </c>
      <c r="C6" s="316"/>
      <c r="D6" s="316"/>
      <c r="E6" s="316"/>
      <c r="F6" s="316"/>
      <c r="G6" s="316"/>
      <c r="H6" s="316"/>
      <c r="I6" s="316"/>
      <c r="J6" s="199"/>
      <c r="K6" s="6"/>
      <c r="N6" s="316" t="s">
        <v>222</v>
      </c>
      <c r="O6" s="316"/>
      <c r="P6" s="316"/>
      <c r="Q6" s="316"/>
      <c r="R6" s="316"/>
      <c r="S6" s="316"/>
      <c r="T6" s="316"/>
      <c r="U6" s="316"/>
      <c r="V6" s="199"/>
      <c r="W6" s="6"/>
    </row>
    <row r="7" spans="2:25" s="14" customFormat="1">
      <c r="B7" s="63"/>
      <c r="C7" s="63"/>
      <c r="D7" s="63"/>
      <c r="E7" s="63"/>
      <c r="F7" s="63"/>
      <c r="G7" s="63"/>
      <c r="H7" s="63"/>
      <c r="I7" s="63"/>
      <c r="J7" s="199"/>
      <c r="K7" s="63"/>
      <c r="L7" s="63"/>
      <c r="N7" s="173"/>
      <c r="O7" s="173"/>
      <c r="P7" s="173"/>
      <c r="Q7" s="173"/>
      <c r="R7" s="173"/>
      <c r="S7" s="173"/>
      <c r="T7" s="173"/>
      <c r="U7" s="173"/>
      <c r="V7" s="199"/>
      <c r="W7" s="173"/>
      <c r="X7" s="173"/>
    </row>
    <row r="8" spans="2:25" ht="162">
      <c r="B8" s="244" t="s">
        <v>31</v>
      </c>
      <c r="C8" s="245" t="s">
        <v>166</v>
      </c>
      <c r="D8" s="243" t="s">
        <v>141</v>
      </c>
      <c r="E8" s="243" t="s">
        <v>142</v>
      </c>
      <c r="F8" s="243" t="s">
        <v>143</v>
      </c>
      <c r="G8" s="243" t="s">
        <v>144</v>
      </c>
      <c r="H8" s="243" t="s">
        <v>145</v>
      </c>
      <c r="I8" s="246" t="s">
        <v>146</v>
      </c>
      <c r="J8" s="247" t="s">
        <v>190</v>
      </c>
      <c r="K8" s="243" t="s">
        <v>148</v>
      </c>
      <c r="L8" s="246" t="s">
        <v>147</v>
      </c>
      <c r="N8" s="244" t="s">
        <v>31</v>
      </c>
      <c r="O8" s="245" t="s">
        <v>166</v>
      </c>
      <c r="P8" s="243" t="s">
        <v>141</v>
      </c>
      <c r="Q8" s="243" t="s">
        <v>142</v>
      </c>
      <c r="R8" s="243" t="s">
        <v>143</v>
      </c>
      <c r="S8" s="243" t="s">
        <v>144</v>
      </c>
      <c r="T8" s="243" t="s">
        <v>145</v>
      </c>
      <c r="U8" s="246" t="s">
        <v>146</v>
      </c>
      <c r="V8" s="247" t="s">
        <v>190</v>
      </c>
      <c r="W8" s="243" t="s">
        <v>148</v>
      </c>
      <c r="X8" s="246" t="s">
        <v>147</v>
      </c>
    </row>
    <row r="9" spans="2:25" s="7" customFormat="1" ht="13.5">
      <c r="B9" s="248">
        <v>1</v>
      </c>
      <c r="C9" s="47">
        <f>B9+1</f>
        <v>2</v>
      </c>
      <c r="D9" s="47">
        <f>C9+1</f>
        <v>3</v>
      </c>
      <c r="E9" s="47">
        <f>D9+1</f>
        <v>4</v>
      </c>
      <c r="F9" s="47">
        <f>E9+1</f>
        <v>5</v>
      </c>
      <c r="G9" s="47">
        <f>F9+1</f>
        <v>6</v>
      </c>
      <c r="H9" s="47">
        <v>8</v>
      </c>
      <c r="I9" s="47">
        <v>9</v>
      </c>
      <c r="J9" s="47">
        <v>10</v>
      </c>
      <c r="K9" s="249">
        <v>11</v>
      </c>
      <c r="L9" s="47">
        <f>K9+1</f>
        <v>12</v>
      </c>
      <c r="N9" s="248">
        <v>1</v>
      </c>
      <c r="O9" s="47">
        <f>N9+1</f>
        <v>2</v>
      </c>
      <c r="P9" s="47">
        <f>O9+1</f>
        <v>3</v>
      </c>
      <c r="Q9" s="47">
        <f>P9+1</f>
        <v>4</v>
      </c>
      <c r="R9" s="47">
        <f>Q9+1</f>
        <v>5</v>
      </c>
      <c r="S9" s="47">
        <f>R9+1</f>
        <v>6</v>
      </c>
      <c r="T9" s="47">
        <v>8</v>
      </c>
      <c r="U9" s="47">
        <v>9</v>
      </c>
      <c r="V9" s="47"/>
      <c r="W9" s="47">
        <v>10</v>
      </c>
      <c r="X9" s="47">
        <f>W9+1</f>
        <v>11</v>
      </c>
    </row>
    <row r="10" spans="2:25" s="7" customFormat="1" ht="20.25">
      <c r="B10" s="1"/>
      <c r="C10" s="44" t="s">
        <v>51</v>
      </c>
      <c r="D10" s="151">
        <f t="shared" ref="D10:L10" si="0">SUM(D12:D32)</f>
        <v>1237748.2398080004</v>
      </c>
      <c r="E10" s="151">
        <f t="shared" si="0"/>
        <v>18775.587599999999</v>
      </c>
      <c r="F10" s="151">
        <f t="shared" si="0"/>
        <v>89666.594400000002</v>
      </c>
      <c r="G10" s="151">
        <f t="shared" si="0"/>
        <v>10395</v>
      </c>
      <c r="H10" s="151">
        <f t="shared" si="0"/>
        <v>300</v>
      </c>
      <c r="I10" s="151">
        <f t="shared" si="0"/>
        <v>1356885.4218080002</v>
      </c>
      <c r="J10" s="151">
        <f t="shared" si="0"/>
        <v>900</v>
      </c>
      <c r="K10" s="151">
        <f t="shared" si="0"/>
        <v>975</v>
      </c>
      <c r="L10" s="151">
        <f t="shared" si="0"/>
        <v>1358760.4218080002</v>
      </c>
      <c r="N10" s="1"/>
      <c r="O10" s="44" t="s">
        <v>51</v>
      </c>
      <c r="P10" s="151">
        <f t="shared" ref="P10:U10" si="1">SUM(P12:P32)</f>
        <v>1237748.2</v>
      </c>
      <c r="Q10" s="151">
        <f t="shared" si="1"/>
        <v>18775.8</v>
      </c>
      <c r="R10" s="151">
        <f t="shared" si="1"/>
        <v>89666.6</v>
      </c>
      <c r="S10" s="151">
        <f t="shared" si="1"/>
        <v>10395</v>
      </c>
      <c r="T10" s="151">
        <f t="shared" si="1"/>
        <v>300</v>
      </c>
      <c r="U10" s="151">
        <f t="shared" si="1"/>
        <v>1356885.6</v>
      </c>
      <c r="V10" s="151">
        <f>+V12+V14</f>
        <v>900</v>
      </c>
      <c r="W10" s="151">
        <f>+W12+W14</f>
        <v>975</v>
      </c>
      <c r="X10" s="151">
        <f>SUM(X12:X32)</f>
        <v>1358760.6</v>
      </c>
      <c r="Y10" s="151">
        <f>SUM(Y12:Y32)</f>
        <v>1358760.6</v>
      </c>
    </row>
    <row r="11" spans="2:25" s="7" customFormat="1" ht="13.5">
      <c r="B11" s="1"/>
      <c r="C11" s="38" t="s">
        <v>50</v>
      </c>
      <c r="D11" s="50"/>
      <c r="E11" s="50"/>
      <c r="F11" s="50"/>
      <c r="G11" s="50"/>
      <c r="H11" s="50"/>
      <c r="I11" s="50"/>
      <c r="J11" s="50"/>
      <c r="K11" s="50"/>
      <c r="L11" s="50"/>
      <c r="N11" s="1"/>
      <c r="O11" s="38" t="s">
        <v>50</v>
      </c>
      <c r="P11" s="50"/>
      <c r="Q11" s="50"/>
      <c r="R11" s="50"/>
      <c r="S11" s="50"/>
      <c r="T11" s="50"/>
      <c r="U11" s="50"/>
      <c r="V11" s="50"/>
      <c r="W11" s="50"/>
      <c r="X11" s="50"/>
    </row>
    <row r="12" spans="2:25" s="73" customFormat="1">
      <c r="B12" s="1">
        <v>1</v>
      </c>
      <c r="C12" s="70" t="s">
        <v>158</v>
      </c>
      <c r="D12" s="52">
        <f>'5. դատ.դեպ-փոստային'!G13</f>
        <v>9000</v>
      </c>
      <c r="E12" s="52">
        <f>'BDX&amp;kargadrich'!E32</f>
        <v>2750.4</v>
      </c>
      <c r="F12" s="52">
        <f>'BDX&amp;kargadrich'!E33</f>
        <v>9889.2000000000007</v>
      </c>
      <c r="G12" s="52">
        <f>'2.Internet'!C12</f>
        <v>10395</v>
      </c>
      <c r="H12" s="52">
        <v>300</v>
      </c>
      <c r="I12" s="52">
        <f>D12+E12+F12+G12+H12</f>
        <v>32334.6</v>
      </c>
      <c r="J12" s="52">
        <v>900</v>
      </c>
      <c r="K12" s="52">
        <v>650</v>
      </c>
      <c r="L12" s="52">
        <f>I12+J12+K12</f>
        <v>33884.6</v>
      </c>
      <c r="N12" s="1">
        <v>1</v>
      </c>
      <c r="O12" s="70" t="s">
        <v>158</v>
      </c>
      <c r="P12" s="52">
        <f t="shared" ref="P12:P22" si="2">+ROUND(D12,1)</f>
        <v>9000</v>
      </c>
      <c r="Q12" s="52">
        <f t="shared" ref="Q12:Q22" si="3">+ROUND(E12,1)</f>
        <v>2750.4</v>
      </c>
      <c r="R12" s="52">
        <f t="shared" ref="R12:R22" si="4">+ROUND(F12,1)</f>
        <v>9889.2000000000007</v>
      </c>
      <c r="S12" s="52">
        <f t="shared" ref="S12:S22" si="5">+ROUND(G12,1)</f>
        <v>10395</v>
      </c>
      <c r="T12" s="52">
        <v>300</v>
      </c>
      <c r="U12" s="52">
        <f>P12+Q12+R12+S12+T12</f>
        <v>32334.6</v>
      </c>
      <c r="V12" s="52">
        <f t="shared" ref="V12:V14" si="6">+ROUND(J12,1)</f>
        <v>900</v>
      </c>
      <c r="W12" s="52">
        <f t="shared" ref="W12:W14" si="7">+ROUND(K12,1)</f>
        <v>650</v>
      </c>
      <c r="X12" s="52">
        <f>U12+V12+W12</f>
        <v>33884.6</v>
      </c>
      <c r="Y12" s="263">
        <f>+P12+Q12+R12+S10+T12+V12+W12</f>
        <v>33884.6</v>
      </c>
    </row>
    <row r="13" spans="2:25" s="73" customFormat="1" ht="27">
      <c r="B13" s="1">
        <v>2</v>
      </c>
      <c r="C13" s="70" t="s">
        <v>38</v>
      </c>
      <c r="D13" s="52"/>
      <c r="E13" s="52"/>
      <c r="F13" s="52"/>
      <c r="G13" s="52">
        <f>+'2.Internet'!C13</f>
        <v>0</v>
      </c>
      <c r="H13" s="52"/>
      <c r="I13" s="52">
        <f>D13+E13+F13+G13</f>
        <v>0</v>
      </c>
      <c r="J13" s="52"/>
      <c r="K13" s="52"/>
      <c r="L13" s="52">
        <f t="shared" ref="L13" si="8">I13+J13+K13</f>
        <v>0</v>
      </c>
      <c r="N13" s="1">
        <v>2</v>
      </c>
      <c r="O13" s="70" t="s">
        <v>38</v>
      </c>
      <c r="P13" s="52">
        <f t="shared" si="2"/>
        <v>0</v>
      </c>
      <c r="Q13" s="52">
        <f t="shared" si="3"/>
        <v>0</v>
      </c>
      <c r="R13" s="52">
        <f t="shared" si="4"/>
        <v>0</v>
      </c>
      <c r="S13" s="52">
        <f t="shared" si="5"/>
        <v>0</v>
      </c>
      <c r="T13" s="52"/>
      <c r="U13" s="52">
        <f>P13+Q13+R13+S13</f>
        <v>0</v>
      </c>
      <c r="V13" s="52">
        <f t="shared" si="6"/>
        <v>0</v>
      </c>
      <c r="W13" s="52">
        <f t="shared" si="7"/>
        <v>0</v>
      </c>
      <c r="X13" s="52">
        <f t="shared" ref="X13" si="9">U13+V13+W13</f>
        <v>0</v>
      </c>
      <c r="Y13" s="263">
        <f>+P13+Q13+R13+W13</f>
        <v>0</v>
      </c>
    </row>
    <row r="14" spans="2:25" s="73" customFormat="1">
      <c r="B14" s="1">
        <v>3</v>
      </c>
      <c r="C14" s="70" t="s">
        <v>33</v>
      </c>
      <c r="D14" s="52">
        <f>'5. դատ.դեպ-փոստային'!G14</f>
        <v>20003.2</v>
      </c>
      <c r="E14" s="52">
        <f>+Vchr!E29</f>
        <v>2750.4</v>
      </c>
      <c r="F14" s="52">
        <f>+Vchr!E30</f>
        <v>7569.7943999999998</v>
      </c>
      <c r="G14" s="52">
        <f>+'2.Internet'!C14</f>
        <v>0</v>
      </c>
      <c r="H14" s="52"/>
      <c r="I14" s="52">
        <f>D14+E14+F14+G14</f>
        <v>30323.394400000001</v>
      </c>
      <c r="J14" s="52"/>
      <c r="K14" s="52">
        <v>325</v>
      </c>
      <c r="L14" s="52">
        <f t="shared" ref="L14:L27" si="10">I14+J14+K14</f>
        <v>30648.394400000001</v>
      </c>
      <c r="N14" s="1">
        <v>3</v>
      </c>
      <c r="O14" s="70" t="s">
        <v>33</v>
      </c>
      <c r="P14" s="52">
        <f t="shared" si="2"/>
        <v>20003.2</v>
      </c>
      <c r="Q14" s="52">
        <f t="shared" si="3"/>
        <v>2750.4</v>
      </c>
      <c r="R14" s="52">
        <f t="shared" si="4"/>
        <v>7569.8</v>
      </c>
      <c r="S14" s="52">
        <f t="shared" si="5"/>
        <v>0</v>
      </c>
      <c r="T14" s="52"/>
      <c r="U14" s="52">
        <f>P14+Q14+R14+S14</f>
        <v>30323.4</v>
      </c>
      <c r="V14" s="52">
        <f t="shared" si="6"/>
        <v>0</v>
      </c>
      <c r="W14" s="52">
        <f t="shared" si="7"/>
        <v>325</v>
      </c>
      <c r="X14" s="52">
        <f t="shared" ref="X14:X27" si="11">U14+V14+W14</f>
        <v>30648.400000000001</v>
      </c>
      <c r="Y14" s="263">
        <f>+P14+Q14+R14+W14</f>
        <v>30648.400000000001</v>
      </c>
    </row>
    <row r="15" spans="2:25" s="73" customFormat="1" ht="27">
      <c r="B15" s="1">
        <v>4</v>
      </c>
      <c r="C15" s="70" t="s">
        <v>34</v>
      </c>
      <c r="D15" s="52">
        <f>'5. դատ.դեպ-փոստային'!G15</f>
        <v>40688.576000000001</v>
      </c>
      <c r="E15" s="52">
        <f>Ver.Qax!G20</f>
        <v>974.98440000000005</v>
      </c>
      <c r="F15" s="52">
        <f>Ver.Qax!R20</f>
        <v>4224</v>
      </c>
      <c r="G15" s="52">
        <f>+'2.Internet'!C15</f>
        <v>0</v>
      </c>
      <c r="H15" s="52"/>
      <c r="I15" s="52">
        <f t="shared" ref="I15:I27" si="12">D15+E15+F15+G15</f>
        <v>45887.560400000002</v>
      </c>
      <c r="J15" s="52"/>
      <c r="K15" s="190"/>
      <c r="L15" s="52">
        <f t="shared" si="10"/>
        <v>45887.560400000002</v>
      </c>
      <c r="N15" s="1">
        <v>4</v>
      </c>
      <c r="O15" s="70" t="s">
        <v>34</v>
      </c>
      <c r="P15" s="52">
        <f t="shared" si="2"/>
        <v>40688.6</v>
      </c>
      <c r="Q15" s="52">
        <f t="shared" si="3"/>
        <v>975</v>
      </c>
      <c r="R15" s="52">
        <f t="shared" si="4"/>
        <v>4224</v>
      </c>
      <c r="S15" s="52">
        <f t="shared" si="5"/>
        <v>0</v>
      </c>
      <c r="T15" s="52"/>
      <c r="U15" s="52">
        <f t="shared" ref="U15:U27" si="13">P15+Q15+R15+S15</f>
        <v>45887.6</v>
      </c>
      <c r="V15" s="52"/>
      <c r="W15" s="190"/>
      <c r="X15" s="52">
        <f t="shared" si="11"/>
        <v>45887.6</v>
      </c>
      <c r="Y15" s="263">
        <f t="shared" ref="Y15:Y32" si="14">+P15+Q15+R15+W15</f>
        <v>45887.6</v>
      </c>
    </row>
    <row r="16" spans="2:25">
      <c r="B16" s="1">
        <v>5</v>
      </c>
      <c r="C16" s="70" t="s">
        <v>35</v>
      </c>
      <c r="D16" s="52">
        <f>'5. դատ.դեպ-փոստային'!G16</f>
        <v>51211.839999999997</v>
      </c>
      <c r="E16" s="52">
        <f>Ver.qr.!G19</f>
        <v>824.98680000000002</v>
      </c>
      <c r="F16" s="52">
        <f>(Ver.qr.!M19+Ver.qr.!R19)</f>
        <v>4875.6000000000004</v>
      </c>
      <c r="G16" s="52">
        <f>+'2.Internet'!C16</f>
        <v>0</v>
      </c>
      <c r="H16" s="52"/>
      <c r="I16" s="52">
        <f t="shared" si="12"/>
        <v>56912.426799999994</v>
      </c>
      <c r="J16" s="52"/>
      <c r="K16" s="190"/>
      <c r="L16" s="52">
        <f t="shared" si="10"/>
        <v>56912.426799999994</v>
      </c>
      <c r="N16" s="1">
        <v>5</v>
      </c>
      <c r="O16" s="70" t="s">
        <v>35</v>
      </c>
      <c r="P16" s="52">
        <f t="shared" si="2"/>
        <v>51211.8</v>
      </c>
      <c r="Q16" s="52">
        <f t="shared" si="3"/>
        <v>825</v>
      </c>
      <c r="R16" s="52">
        <f t="shared" si="4"/>
        <v>4875.6000000000004</v>
      </c>
      <c r="S16" s="52">
        <f t="shared" si="5"/>
        <v>0</v>
      </c>
      <c r="T16" s="52"/>
      <c r="U16" s="52">
        <f t="shared" si="13"/>
        <v>56912.4</v>
      </c>
      <c r="V16" s="52"/>
      <c r="W16" s="190"/>
      <c r="X16" s="52">
        <f t="shared" si="11"/>
        <v>56912.4</v>
      </c>
      <c r="Y16" s="263">
        <f t="shared" si="14"/>
        <v>56912.4</v>
      </c>
    </row>
    <row r="17" spans="2:25" s="73" customFormat="1">
      <c r="B17" s="1">
        <v>6</v>
      </c>
      <c r="C17" s="70" t="s">
        <v>188</v>
      </c>
      <c r="D17" s="52">
        <f>'5. դատ.դեպ-փոստային'!G17</f>
        <v>33154.239999999998</v>
      </c>
      <c r="E17" s="52">
        <f>Ver.varch!G20</f>
        <v>1099.9824000000001</v>
      </c>
      <c r="F17" s="52">
        <f>Ver.varch!R20</f>
        <v>7288.8</v>
      </c>
      <c r="G17" s="52">
        <f>+'2.Internet'!C17</f>
        <v>0</v>
      </c>
      <c r="H17" s="52"/>
      <c r="I17" s="52">
        <f t="shared" si="12"/>
        <v>41543.022400000002</v>
      </c>
      <c r="J17" s="52"/>
      <c r="K17" s="190"/>
      <c r="L17" s="52">
        <f t="shared" si="10"/>
        <v>41543.022400000002</v>
      </c>
      <c r="N17" s="1">
        <v>6</v>
      </c>
      <c r="O17" s="70" t="s">
        <v>188</v>
      </c>
      <c r="P17" s="52">
        <f t="shared" si="2"/>
        <v>33154.199999999997</v>
      </c>
      <c r="Q17" s="52">
        <f t="shared" si="3"/>
        <v>1100</v>
      </c>
      <c r="R17" s="52">
        <f t="shared" si="4"/>
        <v>7288.8</v>
      </c>
      <c r="S17" s="52">
        <f t="shared" si="5"/>
        <v>0</v>
      </c>
      <c r="T17" s="52"/>
      <c r="U17" s="52">
        <f t="shared" si="13"/>
        <v>41543</v>
      </c>
      <c r="V17" s="52"/>
      <c r="W17" s="190"/>
      <c r="X17" s="52">
        <f t="shared" si="11"/>
        <v>41543</v>
      </c>
      <c r="Y17" s="263">
        <f t="shared" si="14"/>
        <v>41543</v>
      </c>
    </row>
    <row r="18" spans="2:25" s="73" customFormat="1">
      <c r="B18" s="1">
        <v>7</v>
      </c>
      <c r="C18" s="70" t="s">
        <v>37</v>
      </c>
      <c r="D18" s="52">
        <f>'5. դատ.դեպ-փոստային'!G18</f>
        <v>249280</v>
      </c>
      <c r="E18" s="52">
        <f>Varch.!G20</f>
        <v>849.9864</v>
      </c>
      <c r="F18" s="52">
        <f>Varch.!R20</f>
        <v>5756.4000000000005</v>
      </c>
      <c r="G18" s="52">
        <f>+'2.Internet'!C18</f>
        <v>0</v>
      </c>
      <c r="H18" s="52"/>
      <c r="I18" s="52">
        <f t="shared" si="12"/>
        <v>255886.38639999999</v>
      </c>
      <c r="J18" s="52"/>
      <c r="K18" s="190"/>
      <c r="L18" s="52">
        <f t="shared" si="10"/>
        <v>255886.38639999999</v>
      </c>
      <c r="N18" s="1">
        <v>7</v>
      </c>
      <c r="O18" s="70" t="s">
        <v>37</v>
      </c>
      <c r="P18" s="52">
        <f t="shared" si="2"/>
        <v>249280</v>
      </c>
      <c r="Q18" s="52">
        <f t="shared" si="3"/>
        <v>850</v>
      </c>
      <c r="R18" s="52">
        <f t="shared" si="4"/>
        <v>5756.4</v>
      </c>
      <c r="S18" s="52">
        <f t="shared" si="5"/>
        <v>0</v>
      </c>
      <c r="T18" s="52"/>
      <c r="U18" s="52">
        <f t="shared" si="13"/>
        <v>255886.4</v>
      </c>
      <c r="V18" s="52"/>
      <c r="W18" s="190"/>
      <c r="X18" s="52">
        <f t="shared" si="11"/>
        <v>255886.4</v>
      </c>
      <c r="Y18" s="263">
        <f t="shared" si="14"/>
        <v>255886.4</v>
      </c>
    </row>
    <row r="19" spans="2:25" s="73" customFormat="1" ht="40.5">
      <c r="B19" s="1">
        <v>8</v>
      </c>
      <c r="C19" s="70" t="s">
        <v>193</v>
      </c>
      <c r="D19" s="52">
        <f>'5. դատ.դեպ-փոստային'!G19</f>
        <v>40736</v>
      </c>
      <c r="E19" s="52">
        <f>Arag!G20</f>
        <v>299.99519999999995</v>
      </c>
      <c r="F19" s="52">
        <f>Arag!R20</f>
        <v>1863.6</v>
      </c>
      <c r="G19" s="52">
        <f>'2.Internet'!C19</f>
        <v>0</v>
      </c>
      <c r="H19" s="52"/>
      <c r="I19" s="52">
        <f t="shared" si="12"/>
        <v>42899.595199999996</v>
      </c>
      <c r="J19" s="52"/>
      <c r="K19" s="190"/>
      <c r="L19" s="52">
        <f t="shared" si="10"/>
        <v>42899.595199999996</v>
      </c>
      <c r="N19" s="1">
        <v>8</v>
      </c>
      <c r="O19" s="70" t="s">
        <v>193</v>
      </c>
      <c r="P19" s="52">
        <f t="shared" si="2"/>
        <v>40736</v>
      </c>
      <c r="Q19" s="52">
        <f t="shared" si="3"/>
        <v>300</v>
      </c>
      <c r="R19" s="52">
        <f t="shared" si="4"/>
        <v>1863.6</v>
      </c>
      <c r="S19" s="52">
        <f t="shared" si="5"/>
        <v>0</v>
      </c>
      <c r="T19" s="52"/>
      <c r="U19" s="52">
        <f t="shared" si="13"/>
        <v>42899.6</v>
      </c>
      <c r="V19" s="52"/>
      <c r="W19" s="190"/>
      <c r="X19" s="52">
        <f t="shared" si="11"/>
        <v>42899.6</v>
      </c>
      <c r="Y19" s="263">
        <f t="shared" si="14"/>
        <v>42899.6</v>
      </c>
    </row>
    <row r="20" spans="2:25" s="73" customFormat="1" ht="40.5">
      <c r="B20" s="1">
        <v>9</v>
      </c>
      <c r="C20" s="70" t="s">
        <v>194</v>
      </c>
      <c r="D20" s="52">
        <f>'5. դատ.դեպ-փոստային'!G20</f>
        <v>51683.6680000001</v>
      </c>
      <c r="E20" s="52">
        <f>Ararat!G21</f>
        <v>674.98919999999998</v>
      </c>
      <c r="F20" s="52">
        <f>Ararat!R21</f>
        <v>3166.2</v>
      </c>
      <c r="G20" s="52">
        <f>'2.Internet'!C20</f>
        <v>0</v>
      </c>
      <c r="H20" s="52"/>
      <c r="I20" s="52">
        <f t="shared" si="12"/>
        <v>55524.8572000001</v>
      </c>
      <c r="J20" s="52"/>
      <c r="K20" s="190"/>
      <c r="L20" s="52">
        <f t="shared" si="10"/>
        <v>55524.8572000001</v>
      </c>
      <c r="N20" s="1">
        <v>9</v>
      </c>
      <c r="O20" s="70" t="s">
        <v>194</v>
      </c>
      <c r="P20" s="52">
        <f t="shared" si="2"/>
        <v>51683.7</v>
      </c>
      <c r="Q20" s="52">
        <f t="shared" si="3"/>
        <v>675</v>
      </c>
      <c r="R20" s="52">
        <f t="shared" si="4"/>
        <v>3166.2</v>
      </c>
      <c r="S20" s="52">
        <f t="shared" si="5"/>
        <v>0</v>
      </c>
      <c r="T20" s="52"/>
      <c r="U20" s="52">
        <f t="shared" si="13"/>
        <v>55524.899999999994</v>
      </c>
      <c r="V20" s="52"/>
      <c r="W20" s="190"/>
      <c r="X20" s="52">
        <f t="shared" si="11"/>
        <v>55524.899999999994</v>
      </c>
      <c r="Y20" s="263">
        <f t="shared" si="14"/>
        <v>55524.899999999994</v>
      </c>
    </row>
    <row r="21" spans="2:25" s="73" customFormat="1" ht="40.5">
      <c r="B21" s="1">
        <v>10</v>
      </c>
      <c r="C21" s="70" t="s">
        <v>195</v>
      </c>
      <c r="D21" s="52">
        <f>'5. դատ.դեպ-փոստային'!G21</f>
        <v>73161.153000000006</v>
      </c>
      <c r="E21" s="52">
        <f>Armav.!G21</f>
        <v>524.99160000000006</v>
      </c>
      <c r="F21" s="52">
        <f>Armav.!R21</f>
        <v>3134.9999999999995</v>
      </c>
      <c r="G21" s="52">
        <f>'2.Internet'!C21</f>
        <v>0</v>
      </c>
      <c r="H21" s="52"/>
      <c r="I21" s="52">
        <f t="shared" si="12"/>
        <v>76821.1446</v>
      </c>
      <c r="J21" s="52"/>
      <c r="K21" s="190"/>
      <c r="L21" s="52">
        <f t="shared" si="10"/>
        <v>76821.1446</v>
      </c>
      <c r="N21" s="1">
        <v>10</v>
      </c>
      <c r="O21" s="70" t="s">
        <v>195</v>
      </c>
      <c r="P21" s="52">
        <f t="shared" si="2"/>
        <v>73161.2</v>
      </c>
      <c r="Q21" s="52">
        <f t="shared" si="3"/>
        <v>525</v>
      </c>
      <c r="R21" s="52">
        <f t="shared" si="4"/>
        <v>3135</v>
      </c>
      <c r="S21" s="52">
        <f t="shared" si="5"/>
        <v>0</v>
      </c>
      <c r="T21" s="52"/>
      <c r="U21" s="52">
        <f t="shared" si="13"/>
        <v>76821.2</v>
      </c>
      <c r="V21" s="52"/>
      <c r="W21" s="190"/>
      <c r="X21" s="52">
        <f t="shared" si="11"/>
        <v>76821.2</v>
      </c>
      <c r="Y21" s="263">
        <f t="shared" si="14"/>
        <v>76821.2</v>
      </c>
    </row>
    <row r="22" spans="2:25" s="73" customFormat="1" ht="40.5">
      <c r="B22" s="1">
        <v>11</v>
      </c>
      <c r="C22" s="70" t="s">
        <v>196</v>
      </c>
      <c r="D22" s="52">
        <f>'5. դատ.դեպ-փոստային'!G22</f>
        <v>43592.877</v>
      </c>
      <c r="E22" s="52">
        <f>Gex.!G22</f>
        <v>549.99120000000005</v>
      </c>
      <c r="F22" s="52">
        <f>Gex.!R22</f>
        <v>2506.8000000000002</v>
      </c>
      <c r="G22" s="52">
        <f>'2.Internet'!C22</f>
        <v>0</v>
      </c>
      <c r="H22" s="52"/>
      <c r="I22" s="52">
        <f t="shared" si="12"/>
        <v>46649.6682</v>
      </c>
      <c r="J22" s="52"/>
      <c r="K22" s="190"/>
      <c r="L22" s="52">
        <f t="shared" si="10"/>
        <v>46649.6682</v>
      </c>
      <c r="N22" s="1">
        <v>11</v>
      </c>
      <c r="O22" s="70" t="s">
        <v>196</v>
      </c>
      <c r="P22" s="52">
        <f t="shared" si="2"/>
        <v>43592.9</v>
      </c>
      <c r="Q22" s="52">
        <f t="shared" si="3"/>
        <v>550</v>
      </c>
      <c r="R22" s="52">
        <f t="shared" si="4"/>
        <v>2506.8000000000002</v>
      </c>
      <c r="S22" s="52">
        <f t="shared" si="5"/>
        <v>0</v>
      </c>
      <c r="T22" s="52"/>
      <c r="U22" s="52">
        <f t="shared" si="13"/>
        <v>46649.700000000004</v>
      </c>
      <c r="V22" s="52"/>
      <c r="W22" s="190"/>
      <c r="X22" s="52">
        <f t="shared" si="11"/>
        <v>46649.700000000004</v>
      </c>
      <c r="Y22" s="263">
        <f t="shared" si="14"/>
        <v>46649.700000000004</v>
      </c>
    </row>
    <row r="23" spans="2:25" s="73" customFormat="1" ht="40.5">
      <c r="B23" s="1">
        <v>12</v>
      </c>
      <c r="C23" s="70" t="s">
        <v>197</v>
      </c>
      <c r="D23" s="52">
        <f>'5. դատ.դեպ-փոստային'!G23</f>
        <v>60800</v>
      </c>
      <c r="E23" s="52">
        <f>Lori!G22</f>
        <v>599.99040000000002</v>
      </c>
      <c r="F23" s="52">
        <f>Lori!R22</f>
        <v>3922.2</v>
      </c>
      <c r="G23" s="52">
        <f>'2.Internet'!C23</f>
        <v>0</v>
      </c>
      <c r="H23" s="52"/>
      <c r="I23" s="52">
        <f t="shared" si="12"/>
        <v>65322.190399999999</v>
      </c>
      <c r="J23" s="52"/>
      <c r="K23" s="190"/>
      <c r="L23" s="52">
        <f t="shared" si="10"/>
        <v>65322.190399999999</v>
      </c>
      <c r="N23" s="1">
        <v>12</v>
      </c>
      <c r="O23" s="70" t="s">
        <v>197</v>
      </c>
      <c r="P23" s="52">
        <f>+ROUND(D23,1)</f>
        <v>60800</v>
      </c>
      <c r="Q23" s="52">
        <f t="shared" ref="Q23:S23" si="15">+ROUND(E23,1)</f>
        <v>600</v>
      </c>
      <c r="R23" s="52">
        <f t="shared" si="15"/>
        <v>3922.2</v>
      </c>
      <c r="S23" s="52">
        <f t="shared" si="15"/>
        <v>0</v>
      </c>
      <c r="T23" s="52"/>
      <c r="U23" s="52">
        <f t="shared" si="13"/>
        <v>65322.2</v>
      </c>
      <c r="V23" s="52"/>
      <c r="W23" s="190"/>
      <c r="X23" s="52">
        <f t="shared" si="11"/>
        <v>65322.2</v>
      </c>
      <c r="Y23" s="263">
        <f t="shared" si="14"/>
        <v>65322.2</v>
      </c>
    </row>
    <row r="24" spans="2:25" s="73" customFormat="1" ht="40.5">
      <c r="B24" s="1">
        <v>13</v>
      </c>
      <c r="C24" s="70" t="s">
        <v>198</v>
      </c>
      <c r="D24" s="52">
        <f>'5. դատ.դեպ-փոստային'!G24</f>
        <v>73385.600000000006</v>
      </c>
      <c r="E24" s="52">
        <f>Kot!G21</f>
        <v>624.9899999999999</v>
      </c>
      <c r="F24" s="52">
        <f>Kot!R21</f>
        <v>3792.6000000000004</v>
      </c>
      <c r="G24" s="52">
        <f>'2.Internet'!C24</f>
        <v>0</v>
      </c>
      <c r="H24" s="52"/>
      <c r="I24" s="52">
        <f t="shared" si="12"/>
        <v>77803.190000000017</v>
      </c>
      <c r="J24" s="52"/>
      <c r="K24" s="190"/>
      <c r="L24" s="52">
        <f t="shared" si="10"/>
        <v>77803.190000000017</v>
      </c>
      <c r="N24" s="1">
        <v>13</v>
      </c>
      <c r="O24" s="70" t="s">
        <v>198</v>
      </c>
      <c r="P24" s="52">
        <f t="shared" ref="P24:P32" si="16">+ROUND(D24,1)</f>
        <v>73385.600000000006</v>
      </c>
      <c r="Q24" s="52">
        <f t="shared" ref="Q24:Q32" si="17">+ROUND(E24,1)</f>
        <v>625</v>
      </c>
      <c r="R24" s="52">
        <f t="shared" ref="R24:R32" si="18">+ROUND(F24,1)</f>
        <v>3792.6</v>
      </c>
      <c r="S24" s="52">
        <f t="shared" ref="S24:S32" si="19">+ROUND(G24,1)</f>
        <v>0</v>
      </c>
      <c r="T24" s="52"/>
      <c r="U24" s="52">
        <f t="shared" si="13"/>
        <v>77803.200000000012</v>
      </c>
      <c r="V24" s="52"/>
      <c r="W24" s="190"/>
      <c r="X24" s="52">
        <f t="shared" si="11"/>
        <v>77803.200000000012</v>
      </c>
      <c r="Y24" s="263">
        <f t="shared" si="14"/>
        <v>77803.200000000012</v>
      </c>
    </row>
    <row r="25" spans="2:25" s="73" customFormat="1" ht="40.5">
      <c r="B25" s="1">
        <v>14</v>
      </c>
      <c r="C25" s="70" t="s">
        <v>199</v>
      </c>
      <c r="D25" s="52">
        <f>'5. դատ.դեպ-փոստային'!G25</f>
        <v>72960</v>
      </c>
      <c r="E25" s="52">
        <f>Shir.!G21</f>
        <v>624.9899999999999</v>
      </c>
      <c r="F25" s="52">
        <f>Shir.!R21</f>
        <v>3551.4</v>
      </c>
      <c r="G25" s="52">
        <f>'2.Internet'!C25</f>
        <v>0</v>
      </c>
      <c r="H25" s="52"/>
      <c r="I25" s="52">
        <f t="shared" si="12"/>
        <v>77136.39</v>
      </c>
      <c r="J25" s="52"/>
      <c r="K25" s="190"/>
      <c r="L25" s="52">
        <f t="shared" si="10"/>
        <v>77136.39</v>
      </c>
      <c r="N25" s="1">
        <v>14</v>
      </c>
      <c r="O25" s="70" t="s">
        <v>199</v>
      </c>
      <c r="P25" s="52">
        <f t="shared" si="16"/>
        <v>72960</v>
      </c>
      <c r="Q25" s="52">
        <f t="shared" si="17"/>
        <v>625</v>
      </c>
      <c r="R25" s="52">
        <f t="shared" si="18"/>
        <v>3551.4</v>
      </c>
      <c r="S25" s="52">
        <f t="shared" si="19"/>
        <v>0</v>
      </c>
      <c r="T25" s="52"/>
      <c r="U25" s="52">
        <f t="shared" si="13"/>
        <v>77136.399999999994</v>
      </c>
      <c r="V25" s="52"/>
      <c r="W25" s="190"/>
      <c r="X25" s="52">
        <f t="shared" si="11"/>
        <v>77136.399999999994</v>
      </c>
      <c r="Y25" s="263">
        <f t="shared" si="14"/>
        <v>77136.399999999994</v>
      </c>
    </row>
    <row r="26" spans="2:25" s="73" customFormat="1" ht="40.5">
      <c r="B26" s="1">
        <v>15</v>
      </c>
      <c r="C26" s="70" t="s">
        <v>200</v>
      </c>
      <c r="D26" s="52">
        <f>'5. դատ.դեպ-փոստային'!G26</f>
        <v>24320</v>
      </c>
      <c r="E26" s="52">
        <f>Syun.!G21</f>
        <v>574.99080000000004</v>
      </c>
      <c r="F26" s="52">
        <f>Syun.!R21</f>
        <v>3428.3999999999996</v>
      </c>
      <c r="G26" s="52">
        <f>'2.Internet'!C26</f>
        <v>0</v>
      </c>
      <c r="H26" s="52"/>
      <c r="I26" s="52">
        <f t="shared" si="12"/>
        <v>28323.390800000001</v>
      </c>
      <c r="J26" s="52"/>
      <c r="K26" s="190"/>
      <c r="L26" s="52">
        <f t="shared" si="10"/>
        <v>28323.390800000001</v>
      </c>
      <c r="N26" s="1">
        <v>15</v>
      </c>
      <c r="O26" s="70" t="s">
        <v>200</v>
      </c>
      <c r="P26" s="52">
        <f t="shared" si="16"/>
        <v>24320</v>
      </c>
      <c r="Q26" s="52">
        <f t="shared" si="17"/>
        <v>575</v>
      </c>
      <c r="R26" s="52">
        <f t="shared" si="18"/>
        <v>3428.4</v>
      </c>
      <c r="S26" s="52">
        <f t="shared" si="19"/>
        <v>0</v>
      </c>
      <c r="T26" s="52"/>
      <c r="U26" s="52">
        <f t="shared" si="13"/>
        <v>28323.4</v>
      </c>
      <c r="V26" s="52"/>
      <c r="W26" s="190"/>
      <c r="X26" s="52">
        <f t="shared" si="11"/>
        <v>28323.4</v>
      </c>
      <c r="Y26" s="263">
        <f t="shared" si="14"/>
        <v>28323.4</v>
      </c>
    </row>
    <row r="27" spans="2:25" s="73" customFormat="1" ht="40.5">
      <c r="B27" s="1">
        <v>16</v>
      </c>
      <c r="C27" s="70" t="s">
        <v>201</v>
      </c>
      <c r="D27" s="52">
        <f>'5. դատ.դեպ-փոստային'!G27</f>
        <v>24320</v>
      </c>
      <c r="E27" s="52">
        <f>Tav.!G21</f>
        <v>449.99279999999999</v>
      </c>
      <c r="F27" s="52">
        <f>Tav.!R21</f>
        <v>2199</v>
      </c>
      <c r="G27" s="52">
        <f>'2.Internet'!C27</f>
        <v>0</v>
      </c>
      <c r="H27" s="52"/>
      <c r="I27" s="52">
        <f t="shared" si="12"/>
        <v>26968.9928</v>
      </c>
      <c r="J27" s="52"/>
      <c r="K27" s="190"/>
      <c r="L27" s="52">
        <f t="shared" si="10"/>
        <v>26968.9928</v>
      </c>
      <c r="N27" s="1">
        <v>16</v>
      </c>
      <c r="O27" s="70" t="s">
        <v>201</v>
      </c>
      <c r="P27" s="52">
        <f t="shared" si="16"/>
        <v>24320</v>
      </c>
      <c r="Q27" s="52">
        <f t="shared" si="17"/>
        <v>450</v>
      </c>
      <c r="R27" s="52">
        <f t="shared" si="18"/>
        <v>2199</v>
      </c>
      <c r="S27" s="52">
        <f t="shared" si="19"/>
        <v>0</v>
      </c>
      <c r="T27" s="52"/>
      <c r="U27" s="52">
        <f t="shared" si="13"/>
        <v>26969</v>
      </c>
      <c r="V27" s="52"/>
      <c r="W27" s="190"/>
      <c r="X27" s="52">
        <f t="shared" si="11"/>
        <v>26969</v>
      </c>
      <c r="Y27" s="263">
        <f t="shared" si="14"/>
        <v>26969</v>
      </c>
    </row>
    <row r="28" spans="2:25">
      <c r="B28" s="1">
        <v>17</v>
      </c>
      <c r="C28" s="70" t="s">
        <v>153</v>
      </c>
      <c r="D28" s="52">
        <f>+'5. դատ.դեպ-փոստային'!G28</f>
        <v>91665.728000000003</v>
      </c>
      <c r="E28" s="52">
        <f>+Snank!G20</f>
        <v>499.99199999999996</v>
      </c>
      <c r="F28" s="52">
        <f>+Snank!R20</f>
        <v>3501.6000000000004</v>
      </c>
      <c r="G28" s="52">
        <f>+'2.Internet'!C28</f>
        <v>0</v>
      </c>
      <c r="H28" s="52"/>
      <c r="I28" s="52">
        <f>D28+E28+F28+G28</f>
        <v>95667.32</v>
      </c>
      <c r="J28" s="52"/>
      <c r="K28" s="190"/>
      <c r="L28" s="52">
        <f t="shared" ref="L28" si="20">I28+J28+K28</f>
        <v>95667.32</v>
      </c>
      <c r="N28" s="1">
        <v>17</v>
      </c>
      <c r="O28" s="70" t="s">
        <v>153</v>
      </c>
      <c r="P28" s="52">
        <f t="shared" si="16"/>
        <v>91665.7</v>
      </c>
      <c r="Q28" s="52">
        <f t="shared" si="17"/>
        <v>500</v>
      </c>
      <c r="R28" s="52">
        <f t="shared" si="18"/>
        <v>3501.6</v>
      </c>
      <c r="S28" s="52">
        <f t="shared" si="19"/>
        <v>0</v>
      </c>
      <c r="T28" s="52"/>
      <c r="U28" s="52">
        <f t="shared" ref="U28" si="21">P28+Q28+R28+S28</f>
        <v>95667.3</v>
      </c>
      <c r="V28" s="52"/>
      <c r="W28" s="190"/>
      <c r="X28" s="52">
        <f>U28+V28+W28</f>
        <v>95667.3</v>
      </c>
      <c r="Y28" s="263">
        <f t="shared" si="14"/>
        <v>95667.3</v>
      </c>
    </row>
    <row r="29" spans="2:25">
      <c r="B29" s="1">
        <v>18</v>
      </c>
      <c r="C29" s="70" t="s">
        <v>191</v>
      </c>
      <c r="D29" s="52">
        <f>+'5. դատ.դեպ-փոստային'!G29</f>
        <v>34005.440000000002</v>
      </c>
      <c r="E29" s="52"/>
      <c r="F29" s="52"/>
      <c r="G29" s="52">
        <f>+'2.Internet'!C29</f>
        <v>0</v>
      </c>
      <c r="H29" s="52"/>
      <c r="I29" s="52">
        <f>D29+E29+F29+G29</f>
        <v>34005.440000000002</v>
      </c>
      <c r="J29" s="52"/>
      <c r="K29" s="190"/>
      <c r="L29" s="52">
        <f>I29+J29+K29</f>
        <v>34005.440000000002</v>
      </c>
      <c r="N29" s="1">
        <v>18</v>
      </c>
      <c r="O29" s="70" t="s">
        <v>191</v>
      </c>
      <c r="P29" s="52">
        <f t="shared" si="16"/>
        <v>34005.4</v>
      </c>
      <c r="Q29" s="52">
        <f t="shared" si="17"/>
        <v>0</v>
      </c>
      <c r="R29" s="52">
        <f t="shared" si="18"/>
        <v>0</v>
      </c>
      <c r="S29" s="52">
        <f t="shared" si="19"/>
        <v>0</v>
      </c>
      <c r="T29" s="52"/>
      <c r="U29" s="52">
        <f>P29+Q29+R29+S29</f>
        <v>34005.4</v>
      </c>
      <c r="V29" s="52"/>
      <c r="W29" s="190"/>
      <c r="X29" s="52">
        <f>U29+V29+W29</f>
        <v>34005.4</v>
      </c>
      <c r="Y29" s="263">
        <f t="shared" si="14"/>
        <v>34005.4</v>
      </c>
    </row>
    <row r="30" spans="2:25" s="73" customFormat="1" ht="27">
      <c r="B30" s="1">
        <v>19</v>
      </c>
      <c r="C30" s="70" t="s">
        <v>192</v>
      </c>
      <c r="D30" s="52">
        <f>+'5. դատ.դեպ-փոստային'!G30</f>
        <v>10032</v>
      </c>
      <c r="E30" s="52">
        <f>+Ver.hakakorupcion!G20</f>
        <v>599.99039999999991</v>
      </c>
      <c r="F30" s="52">
        <f>+Ver.hakakorupcion!R20</f>
        <v>3022.8</v>
      </c>
      <c r="G30" s="52">
        <f>+'2.Internet'!C30</f>
        <v>0</v>
      </c>
      <c r="H30" s="52"/>
      <c r="I30" s="52">
        <f t="shared" ref="I30" si="22">D30+E30+F30+G30</f>
        <v>13654.790400000002</v>
      </c>
      <c r="J30" s="52"/>
      <c r="K30" s="190"/>
      <c r="L30" s="52">
        <f t="shared" ref="L30" si="23">I30+J30+K30</f>
        <v>13654.790400000002</v>
      </c>
      <c r="N30" s="1">
        <v>19</v>
      </c>
      <c r="O30" s="70" t="s">
        <v>192</v>
      </c>
      <c r="P30" s="52">
        <f t="shared" si="16"/>
        <v>10032</v>
      </c>
      <c r="Q30" s="52">
        <f t="shared" si="17"/>
        <v>600</v>
      </c>
      <c r="R30" s="52">
        <f t="shared" si="18"/>
        <v>3022.8</v>
      </c>
      <c r="S30" s="52">
        <f t="shared" si="19"/>
        <v>0</v>
      </c>
      <c r="T30" s="52"/>
      <c r="U30" s="52">
        <f t="shared" ref="U30" si="24">P30+Q30+R30+S30</f>
        <v>13654.8</v>
      </c>
      <c r="V30" s="52"/>
      <c r="W30" s="190"/>
      <c r="X30" s="52">
        <f t="shared" ref="X30" si="25">U30+V30+W30</f>
        <v>13654.8</v>
      </c>
      <c r="Y30" s="263">
        <f t="shared" si="14"/>
        <v>13654.8</v>
      </c>
    </row>
    <row r="31" spans="2:25" s="73" customFormat="1" ht="40.5">
      <c r="B31" s="1">
        <v>20</v>
      </c>
      <c r="C31" s="70" t="s">
        <v>202</v>
      </c>
      <c r="D31" s="52">
        <f>+'5. դատ.դեպ-փոստային'!G31</f>
        <v>134453.12</v>
      </c>
      <c r="E31" s="52">
        <f>+'Yerevan qax'!G19</f>
        <v>1699.9728000000007</v>
      </c>
      <c r="F31" s="52">
        <f>+'Yerevan qax'!R19</f>
        <v>8545.2000000000007</v>
      </c>
      <c r="G31" s="52">
        <f>+'2.Internet'!C31</f>
        <v>0</v>
      </c>
      <c r="H31" s="52"/>
      <c r="I31" s="52">
        <f>D31+E31+F31+G31</f>
        <v>144698.2928</v>
      </c>
      <c r="J31" s="52"/>
      <c r="K31" s="190"/>
      <c r="L31" s="52">
        <f>I31+J31+K31</f>
        <v>144698.2928</v>
      </c>
      <c r="N31" s="1">
        <v>20</v>
      </c>
      <c r="O31" s="70" t="s">
        <v>202</v>
      </c>
      <c r="P31" s="52">
        <f t="shared" si="16"/>
        <v>134453.1</v>
      </c>
      <c r="Q31" s="52">
        <f t="shared" si="17"/>
        <v>1700</v>
      </c>
      <c r="R31" s="52">
        <f t="shared" si="18"/>
        <v>8545.2000000000007</v>
      </c>
      <c r="S31" s="52">
        <f t="shared" si="19"/>
        <v>0</v>
      </c>
      <c r="T31" s="52"/>
      <c r="U31" s="52">
        <f>P31+Q31+R31+S31</f>
        <v>144698.30000000002</v>
      </c>
      <c r="V31" s="52"/>
      <c r="W31" s="190"/>
      <c r="X31" s="52">
        <f>U31+V31+W31</f>
        <v>144698.30000000002</v>
      </c>
      <c r="Y31" s="263">
        <f t="shared" si="14"/>
        <v>144698.30000000002</v>
      </c>
    </row>
    <row r="32" spans="2:25" s="73" customFormat="1" ht="40.5">
      <c r="B32" s="1">
        <v>21</v>
      </c>
      <c r="C32" s="70" t="s">
        <v>203</v>
      </c>
      <c r="D32" s="52">
        <f>+'5. դատ.դեպ-փոստային'!G32</f>
        <v>99294.797808000032</v>
      </c>
      <c r="E32" s="52">
        <f>+'Yerevan qr'!G19</f>
        <v>1799.9712000000002</v>
      </c>
      <c r="F32" s="52">
        <f>+'Yerevan qr'!R19</f>
        <v>7428</v>
      </c>
      <c r="G32" s="52">
        <f>+'2.Internet'!C32</f>
        <v>0</v>
      </c>
      <c r="H32" s="52"/>
      <c r="I32" s="52">
        <f>D32+E32+F32+G32</f>
        <v>108522.76900800003</v>
      </c>
      <c r="J32" s="52"/>
      <c r="K32" s="190"/>
      <c r="L32" s="52">
        <f>I32+J32+K32</f>
        <v>108522.76900800003</v>
      </c>
      <c r="N32" s="1">
        <v>21</v>
      </c>
      <c r="O32" s="70" t="s">
        <v>203</v>
      </c>
      <c r="P32" s="52">
        <f t="shared" si="16"/>
        <v>99294.8</v>
      </c>
      <c r="Q32" s="52">
        <f t="shared" si="17"/>
        <v>1800</v>
      </c>
      <c r="R32" s="52">
        <f t="shared" si="18"/>
        <v>7428</v>
      </c>
      <c r="S32" s="52">
        <f t="shared" si="19"/>
        <v>0</v>
      </c>
      <c r="T32" s="52"/>
      <c r="U32" s="52">
        <f>P32+Q32+R32+S32</f>
        <v>108522.8</v>
      </c>
      <c r="V32" s="52"/>
      <c r="W32" s="190"/>
      <c r="X32" s="52">
        <f>U32+V32+W32</f>
        <v>108522.8</v>
      </c>
      <c r="Y32" s="263">
        <f t="shared" si="14"/>
        <v>108522.8</v>
      </c>
    </row>
  </sheetData>
  <mergeCells count="8">
    <mergeCell ref="S2:U2"/>
    <mergeCell ref="N5:U5"/>
    <mergeCell ref="N6:U6"/>
    <mergeCell ref="C1:F1"/>
    <mergeCell ref="B5:I5"/>
    <mergeCell ref="B6:I6"/>
    <mergeCell ref="G2:I2"/>
    <mergeCell ref="O1:R1"/>
  </mergeCells>
  <conditionalFormatting sqref="I8:J8 C8 L8 C32 O32 C12 O12 O14:O27 C14:C27">
    <cfRule type="cellIs" dxfId="25" priority="23" stopIfTrue="1" operator="equal">
      <formula>0</formula>
    </cfRule>
  </conditionalFormatting>
  <conditionalFormatting sqref="C29">
    <cfRule type="cellIs" dxfId="24" priority="11" stopIfTrue="1" operator="equal">
      <formula>0</formula>
    </cfRule>
  </conditionalFormatting>
  <conditionalFormatting sqref="U8 O8 X8">
    <cfRule type="cellIs" dxfId="23" priority="10" stopIfTrue="1" operator="equal">
      <formula>0</formula>
    </cfRule>
  </conditionalFormatting>
  <conditionalFormatting sqref="O29">
    <cfRule type="cellIs" dxfId="22" priority="9" stopIfTrue="1" operator="equal">
      <formula>0</formula>
    </cfRule>
  </conditionalFormatting>
  <conditionalFormatting sqref="V8">
    <cfRule type="cellIs" dxfId="21" priority="6" stopIfTrue="1" operator="equal">
      <formula>0</formula>
    </cfRule>
  </conditionalFormatting>
  <conditionalFormatting sqref="C28">
    <cfRule type="cellIs" dxfId="20" priority="5" stopIfTrue="1" operator="equal">
      <formula>0</formula>
    </cfRule>
  </conditionalFormatting>
  <conditionalFormatting sqref="O28">
    <cfRule type="cellIs" dxfId="19" priority="4" stopIfTrue="1" operator="equal">
      <formula>0</formula>
    </cfRule>
  </conditionalFormatting>
  <conditionalFormatting sqref="C31 O31">
    <cfRule type="cellIs" dxfId="18" priority="3" stopIfTrue="1" operator="equal">
      <formula>0</formula>
    </cfRule>
  </conditionalFormatting>
  <conditionalFormatting sqref="C30 O30">
    <cfRule type="cellIs" dxfId="17" priority="2" stopIfTrue="1" operator="equal">
      <formula>0</formula>
    </cfRule>
  </conditionalFormatting>
  <conditionalFormatting sqref="O13 C13">
    <cfRule type="cellIs" dxfId="16" priority="1" stopIfTrue="1" operator="equal">
      <formula>0</formula>
    </cfRule>
  </conditionalFormatting>
  <pageMargins left="0.47244094488188981" right="0.15748031496062992" top="0.27559055118110237" bottom="0.23622047244094491" header="0.15748031496062992" footer="0.15748031496062992"/>
  <pageSetup paperSize="9" scale="66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W30"/>
  <sheetViews>
    <sheetView topLeftCell="K1" zoomScaleNormal="100" workbookViewId="0">
      <selection activeCell="H29" sqref="H29"/>
    </sheetView>
  </sheetViews>
  <sheetFormatPr defaultColWidth="9.140625" defaultRowHeight="13.5"/>
  <cols>
    <col min="1" max="1" width="3" style="295" bestFit="1" customWidth="1"/>
    <col min="2" max="2" width="21.42578125" style="125" customWidth="1"/>
    <col min="3" max="3" width="7" style="125" customWidth="1"/>
    <col min="4" max="4" width="4.42578125" style="125" customWidth="1"/>
    <col min="5" max="6" width="9" style="125" bestFit="1" customWidth="1"/>
    <col min="7" max="7" width="12.28515625" style="125" bestFit="1" customWidth="1"/>
    <col min="8" max="8" width="7.42578125" style="125" bestFit="1" customWidth="1"/>
    <col min="9" max="9" width="9" style="125" bestFit="1" customWidth="1"/>
    <col min="10" max="10" width="8.5703125" style="125" bestFit="1" customWidth="1"/>
    <col min="11" max="11" width="8.85546875" style="125" bestFit="1" customWidth="1"/>
    <col min="12" max="12" width="9.85546875" style="125" bestFit="1" customWidth="1"/>
    <col min="13" max="13" width="11.7109375" style="125" bestFit="1" customWidth="1"/>
    <col min="14" max="14" width="5.85546875" style="125" bestFit="1" customWidth="1"/>
    <col min="15" max="15" width="11.5703125" style="125" customWidth="1"/>
    <col min="16" max="16" width="9.28515625" style="125" bestFit="1" customWidth="1"/>
    <col min="17" max="17" width="9.42578125" style="125" bestFit="1" customWidth="1"/>
    <col min="18" max="18" width="12.42578125" style="125" customWidth="1"/>
    <col min="19" max="19" width="11.140625" style="125" bestFit="1" customWidth="1"/>
    <col min="20" max="21" width="9.28515625" style="125" bestFit="1" customWidth="1"/>
    <col min="22" max="22" width="7.42578125" style="125" bestFit="1" customWidth="1"/>
    <col min="23" max="23" width="11.140625" style="125" bestFit="1" customWidth="1"/>
    <col min="24" max="16384" width="9.140625" style="125"/>
  </cols>
  <sheetData>
    <row r="1" spans="1:23" s="7" customFormat="1" ht="23.25" customHeight="1">
      <c r="A1" s="296"/>
      <c r="B1" s="332"/>
      <c r="C1" s="333"/>
      <c r="D1" s="333"/>
      <c r="E1" s="333"/>
      <c r="F1" s="333"/>
      <c r="G1" s="22"/>
      <c r="H1" s="22"/>
      <c r="I1" s="5"/>
      <c r="J1" s="5"/>
      <c r="K1" s="5"/>
      <c r="L1" s="5"/>
      <c r="Q1" s="5"/>
      <c r="R1" s="162" t="s">
        <v>47</v>
      </c>
      <c r="S1" s="22"/>
    </row>
    <row r="2" spans="1:23" s="7" customFormat="1" ht="15" customHeight="1">
      <c r="A2" s="296"/>
      <c r="B2" s="164"/>
      <c r="C2" s="166"/>
      <c r="D2" s="166"/>
      <c r="E2" s="166"/>
      <c r="F2" s="22"/>
      <c r="G2" s="22"/>
      <c r="H2" s="22"/>
      <c r="I2" s="5"/>
      <c r="J2" s="5"/>
      <c r="K2" s="5"/>
      <c r="L2" s="5"/>
      <c r="Q2" s="314" t="s">
        <v>21</v>
      </c>
      <c r="R2" s="314"/>
      <c r="S2" s="314"/>
    </row>
    <row r="3" spans="1:23" s="7" customFormat="1" ht="28.5" thickBot="1">
      <c r="A3" s="292"/>
      <c r="B3" s="9" t="s">
        <v>65</v>
      </c>
      <c r="C3" s="353" t="s">
        <v>91</v>
      </c>
      <c r="D3" s="353"/>
      <c r="E3" s="353"/>
      <c r="F3" s="353"/>
      <c r="G3" s="353"/>
      <c r="H3" s="353"/>
      <c r="I3" s="5"/>
      <c r="J3" s="5"/>
      <c r="K3" s="5"/>
      <c r="L3" s="5"/>
    </row>
    <row r="4" spans="1:23" s="7" customFormat="1">
      <c r="A4" s="296"/>
      <c r="B4" s="22"/>
      <c r="C4" s="22"/>
      <c r="D4" s="25"/>
      <c r="E4" s="25"/>
      <c r="F4" s="22"/>
      <c r="G4" s="22"/>
      <c r="H4" s="22"/>
      <c r="I4" s="26"/>
      <c r="J4" s="5"/>
      <c r="K4" s="5"/>
      <c r="L4" s="5"/>
      <c r="M4" s="5"/>
    </row>
    <row r="5" spans="1:23" s="14" customFormat="1" ht="15" customHeight="1">
      <c r="A5" s="337" t="s">
        <v>22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</row>
    <row r="6" spans="1:23" s="14" customFormat="1" ht="15" customHeight="1">
      <c r="A6" s="337" t="s">
        <v>212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</row>
    <row r="7" spans="1:23" s="14" customFormat="1" ht="12.75">
      <c r="A7" s="291"/>
      <c r="B7" s="29"/>
      <c r="C7" s="29"/>
      <c r="D7" s="29"/>
      <c r="E7" s="29"/>
      <c r="F7" s="29"/>
      <c r="G7" s="29"/>
      <c r="H7" s="29"/>
      <c r="I7" s="6"/>
      <c r="J7" s="6"/>
      <c r="K7" s="6"/>
      <c r="L7" s="6"/>
      <c r="O7" s="6"/>
      <c r="P7" s="6"/>
    </row>
    <row r="8" spans="1:23" s="7" customFormat="1">
      <c r="A8" s="292"/>
      <c r="B8" s="30"/>
      <c r="C8" s="25"/>
      <c r="D8" s="25"/>
      <c r="E8" s="25"/>
      <c r="F8" s="25"/>
      <c r="G8" s="25"/>
      <c r="H8" s="25"/>
      <c r="I8" s="5"/>
    </row>
    <row r="9" spans="1:23" s="31" customFormat="1" ht="12.75" customHeight="1">
      <c r="A9" s="343" t="s">
        <v>0</v>
      </c>
      <c r="B9" s="343" t="s">
        <v>54</v>
      </c>
      <c r="C9" s="343" t="s">
        <v>55</v>
      </c>
      <c r="D9" s="345" t="s">
        <v>56</v>
      </c>
      <c r="E9" s="346"/>
      <c r="F9" s="346"/>
      <c r="G9" s="347"/>
      <c r="H9" s="345" t="s">
        <v>57</v>
      </c>
      <c r="I9" s="346"/>
      <c r="J9" s="346"/>
      <c r="K9" s="346"/>
      <c r="L9" s="346"/>
      <c r="M9" s="347"/>
      <c r="N9" s="345" t="s">
        <v>58</v>
      </c>
      <c r="O9" s="346"/>
      <c r="P9" s="346"/>
      <c r="Q9" s="346"/>
      <c r="R9" s="347"/>
      <c r="S9" s="343" t="s">
        <v>118</v>
      </c>
      <c r="T9" s="343" t="s">
        <v>119</v>
      </c>
      <c r="U9" s="343" t="s">
        <v>120</v>
      </c>
      <c r="V9" s="343" t="s">
        <v>121</v>
      </c>
      <c r="W9" s="343" t="s">
        <v>122</v>
      </c>
    </row>
    <row r="10" spans="1:23" s="32" customFormat="1" ht="63.75">
      <c r="A10" s="344"/>
      <c r="B10" s="344"/>
      <c r="C10" s="344"/>
      <c r="D10" s="53" t="s">
        <v>59</v>
      </c>
      <c r="E10" s="53" t="s">
        <v>60</v>
      </c>
      <c r="F10" s="53" t="s">
        <v>123</v>
      </c>
      <c r="G10" s="53" t="s">
        <v>214</v>
      </c>
      <c r="H10" s="53" t="s">
        <v>61</v>
      </c>
      <c r="I10" s="53" t="s">
        <v>132</v>
      </c>
      <c r="J10" s="53" t="s">
        <v>124</v>
      </c>
      <c r="K10" s="53" t="s">
        <v>131</v>
      </c>
      <c r="L10" s="53" t="s">
        <v>130</v>
      </c>
      <c r="M10" s="53" t="s">
        <v>217</v>
      </c>
      <c r="N10" s="53" t="s">
        <v>63</v>
      </c>
      <c r="O10" s="53" t="s">
        <v>64</v>
      </c>
      <c r="P10" s="53" t="s">
        <v>129</v>
      </c>
      <c r="Q10" s="54" t="s">
        <v>125</v>
      </c>
      <c r="R10" s="53" t="s">
        <v>215</v>
      </c>
      <c r="S10" s="344"/>
      <c r="T10" s="344"/>
      <c r="U10" s="344"/>
      <c r="V10" s="344"/>
      <c r="W10" s="344"/>
    </row>
    <row r="11" spans="1:23" s="31" customFormat="1">
      <c r="A11" s="293" t="s">
        <v>117</v>
      </c>
      <c r="B11" s="163" t="s">
        <v>2</v>
      </c>
      <c r="C11" s="163" t="s">
        <v>3</v>
      </c>
      <c r="D11" s="163" t="s">
        <v>4</v>
      </c>
      <c r="E11" s="163" t="s">
        <v>19</v>
      </c>
      <c r="F11" s="163" t="s">
        <v>18</v>
      </c>
      <c r="G11" s="163" t="s">
        <v>17</v>
      </c>
      <c r="H11" s="163" t="s">
        <v>16</v>
      </c>
      <c r="I11" s="163" t="s">
        <v>5</v>
      </c>
      <c r="J11" s="163" t="s">
        <v>6</v>
      </c>
      <c r="K11" s="163" t="s">
        <v>15</v>
      </c>
      <c r="L11" s="163" t="s">
        <v>20</v>
      </c>
      <c r="M11" s="163" t="s">
        <v>126</v>
      </c>
      <c r="N11" s="163" t="s">
        <v>0</v>
      </c>
      <c r="O11" s="163" t="s">
        <v>14</v>
      </c>
      <c r="P11" s="163" t="s">
        <v>127</v>
      </c>
      <c r="Q11" s="163" t="s">
        <v>7</v>
      </c>
      <c r="R11" s="163" t="s">
        <v>8</v>
      </c>
      <c r="S11" s="163" t="s">
        <v>9</v>
      </c>
      <c r="T11" s="163" t="s">
        <v>10</v>
      </c>
      <c r="U11" s="163" t="s">
        <v>11</v>
      </c>
      <c r="V11" s="163" t="s">
        <v>13</v>
      </c>
      <c r="W11" s="163" t="s">
        <v>128</v>
      </c>
    </row>
    <row r="12" spans="1:23" s="31" customFormat="1">
      <c r="A12" s="293">
        <v>1</v>
      </c>
      <c r="B12" s="1" t="s">
        <v>66</v>
      </c>
      <c r="C12" s="127">
        <v>1</v>
      </c>
      <c r="D12" s="127">
        <v>1</v>
      </c>
      <c r="E12" s="171">
        <v>2083.3000000000002</v>
      </c>
      <c r="F12" s="171">
        <f t="shared" ref="F12:F18" si="0">D12*E12</f>
        <v>2083.3000000000002</v>
      </c>
      <c r="G12" s="171">
        <f>F12*12/1000</f>
        <v>24.999600000000001</v>
      </c>
      <c r="H12" s="171">
        <v>2250</v>
      </c>
      <c r="I12" s="268">
        <f t="shared" ref="I12:I17" si="1">H12*C12</f>
        <v>2250</v>
      </c>
      <c r="J12" s="171">
        <f t="shared" ref="J12:J18" si="2">I12-D12*360</f>
        <v>1890</v>
      </c>
      <c r="K12" s="269">
        <f>+J12*5</f>
        <v>9450</v>
      </c>
      <c r="L12" s="171">
        <f>+K12</f>
        <v>9450</v>
      </c>
      <c r="M12" s="171">
        <f>L12*12/1000</f>
        <v>113.4</v>
      </c>
      <c r="N12" s="171">
        <v>10</v>
      </c>
      <c r="O12" s="171">
        <v>10</v>
      </c>
      <c r="P12" s="171">
        <f t="shared" ref="P12:P18" si="3">(N12+O12)*1000*C12</f>
        <v>20000</v>
      </c>
      <c r="Q12" s="171">
        <f>P12*20%</f>
        <v>4000</v>
      </c>
      <c r="R12" s="171">
        <f>(P12+Q12)*12/1000</f>
        <v>288</v>
      </c>
      <c r="S12" s="171">
        <f t="shared" ref="S12:S18" si="4">G12+M12+R12</f>
        <v>426.39960000000002</v>
      </c>
      <c r="T12" s="270"/>
      <c r="U12" s="270"/>
      <c r="V12" s="270"/>
      <c r="W12" s="270">
        <f>+(S12+T12+U12+V12)</f>
        <v>426.39960000000002</v>
      </c>
    </row>
    <row r="13" spans="1:23" s="31" customFormat="1">
      <c r="A13" s="293">
        <v>2</v>
      </c>
      <c r="B13" s="1" t="s">
        <v>67</v>
      </c>
      <c r="C13" s="127">
        <v>23</v>
      </c>
      <c r="D13" s="127">
        <v>23</v>
      </c>
      <c r="E13" s="171">
        <v>2083.3000000000002</v>
      </c>
      <c r="F13" s="171">
        <f t="shared" si="0"/>
        <v>47915.9</v>
      </c>
      <c r="G13" s="171">
        <f t="shared" ref="G13:G18" si="5">F13*12/1000</f>
        <v>574.99080000000004</v>
      </c>
      <c r="H13" s="171">
        <v>1500</v>
      </c>
      <c r="I13" s="268">
        <f t="shared" si="1"/>
        <v>34500</v>
      </c>
      <c r="J13" s="171">
        <f t="shared" si="2"/>
        <v>26220</v>
      </c>
      <c r="K13" s="269">
        <f t="shared" ref="K13:K18" si="6">+J13*5</f>
        <v>131100</v>
      </c>
      <c r="L13" s="171">
        <f t="shared" ref="L13:L18" si="7">+K13</f>
        <v>131100</v>
      </c>
      <c r="M13" s="171">
        <f t="shared" ref="M13:M18" si="8">L13*12/1000</f>
        <v>1573.2</v>
      </c>
      <c r="N13" s="171">
        <v>7</v>
      </c>
      <c r="O13" s="171">
        <v>0</v>
      </c>
      <c r="P13" s="171">
        <f t="shared" si="3"/>
        <v>161000</v>
      </c>
      <c r="Q13" s="171">
        <f t="shared" ref="Q13:Q18" si="9">P13*20%</f>
        <v>32200</v>
      </c>
      <c r="R13" s="171">
        <f t="shared" ref="R13:R18" si="10">(P13+Q13)*12/1000</f>
        <v>2318.4</v>
      </c>
      <c r="S13" s="171">
        <f t="shared" si="4"/>
        <v>4466.5907999999999</v>
      </c>
      <c r="T13" s="270"/>
      <c r="U13" s="270"/>
      <c r="V13" s="270"/>
      <c r="W13" s="270">
        <f t="shared" ref="W13:W18" si="11">+(S13+T13+U13+V13)</f>
        <v>4466.5907999999999</v>
      </c>
    </row>
    <row r="14" spans="1:23" s="31" customFormat="1">
      <c r="A14" s="293">
        <v>3</v>
      </c>
      <c r="B14" s="1" t="s">
        <v>68</v>
      </c>
      <c r="C14" s="127">
        <v>1</v>
      </c>
      <c r="D14" s="127">
        <v>1</v>
      </c>
      <c r="E14" s="171">
        <v>2083.3000000000002</v>
      </c>
      <c r="F14" s="171">
        <f t="shared" si="0"/>
        <v>2083.3000000000002</v>
      </c>
      <c r="G14" s="171">
        <f t="shared" si="5"/>
        <v>24.999600000000001</v>
      </c>
      <c r="H14" s="171">
        <v>1750</v>
      </c>
      <c r="I14" s="268">
        <f t="shared" si="1"/>
        <v>1750</v>
      </c>
      <c r="J14" s="171">
        <f t="shared" si="2"/>
        <v>1390</v>
      </c>
      <c r="K14" s="269">
        <f t="shared" si="6"/>
        <v>6950</v>
      </c>
      <c r="L14" s="171">
        <f t="shared" si="7"/>
        <v>6950</v>
      </c>
      <c r="M14" s="171">
        <f t="shared" si="8"/>
        <v>83.4</v>
      </c>
      <c r="N14" s="171">
        <v>4</v>
      </c>
      <c r="O14" s="171">
        <v>0</v>
      </c>
      <c r="P14" s="171">
        <f t="shared" si="3"/>
        <v>4000</v>
      </c>
      <c r="Q14" s="171">
        <f t="shared" si="9"/>
        <v>800</v>
      </c>
      <c r="R14" s="171">
        <f t="shared" si="10"/>
        <v>57.6</v>
      </c>
      <c r="S14" s="171">
        <f t="shared" si="4"/>
        <v>165.99960000000002</v>
      </c>
      <c r="T14" s="270"/>
      <c r="U14" s="270"/>
      <c r="V14" s="270"/>
      <c r="W14" s="270">
        <f t="shared" si="11"/>
        <v>165.99960000000002</v>
      </c>
    </row>
    <row r="15" spans="1:23" s="31" customFormat="1">
      <c r="A15" s="293">
        <v>4</v>
      </c>
      <c r="B15" s="1" t="s">
        <v>69</v>
      </c>
      <c r="C15" s="127">
        <v>1</v>
      </c>
      <c r="D15" s="127">
        <v>1</v>
      </c>
      <c r="E15" s="171">
        <v>2083.3000000000002</v>
      </c>
      <c r="F15" s="171">
        <f t="shared" si="0"/>
        <v>2083.3000000000002</v>
      </c>
      <c r="G15" s="171">
        <f t="shared" si="5"/>
        <v>24.999600000000001</v>
      </c>
      <c r="H15" s="171">
        <v>1750</v>
      </c>
      <c r="I15" s="268">
        <f t="shared" si="1"/>
        <v>1750</v>
      </c>
      <c r="J15" s="171">
        <f t="shared" si="2"/>
        <v>1390</v>
      </c>
      <c r="K15" s="269">
        <f t="shared" si="6"/>
        <v>6950</v>
      </c>
      <c r="L15" s="171">
        <f t="shared" si="7"/>
        <v>6950</v>
      </c>
      <c r="M15" s="171">
        <f t="shared" si="8"/>
        <v>83.4</v>
      </c>
      <c r="N15" s="171">
        <v>5</v>
      </c>
      <c r="O15" s="171">
        <v>0</v>
      </c>
      <c r="P15" s="171">
        <f t="shared" si="3"/>
        <v>5000</v>
      </c>
      <c r="Q15" s="171">
        <f t="shared" si="9"/>
        <v>1000</v>
      </c>
      <c r="R15" s="171">
        <f t="shared" si="10"/>
        <v>72</v>
      </c>
      <c r="S15" s="171">
        <f t="shared" si="4"/>
        <v>180.39960000000002</v>
      </c>
      <c r="T15" s="270"/>
      <c r="U15" s="270"/>
      <c r="V15" s="270"/>
      <c r="W15" s="270">
        <f t="shared" si="11"/>
        <v>180.39960000000002</v>
      </c>
    </row>
    <row r="16" spans="1:23" s="31" customFormat="1">
      <c r="A16" s="293">
        <v>5</v>
      </c>
      <c r="B16" s="1" t="s">
        <v>70</v>
      </c>
      <c r="C16" s="127">
        <v>1</v>
      </c>
      <c r="D16" s="127">
        <v>1</v>
      </c>
      <c r="E16" s="171">
        <v>2083.3000000000002</v>
      </c>
      <c r="F16" s="171">
        <f t="shared" si="0"/>
        <v>2083.3000000000002</v>
      </c>
      <c r="G16" s="171">
        <f t="shared" si="5"/>
        <v>24.999600000000001</v>
      </c>
      <c r="H16" s="171">
        <v>1250</v>
      </c>
      <c r="I16" s="268">
        <f t="shared" si="1"/>
        <v>1250</v>
      </c>
      <c r="J16" s="171">
        <f t="shared" si="2"/>
        <v>890</v>
      </c>
      <c r="K16" s="269">
        <f t="shared" si="6"/>
        <v>4450</v>
      </c>
      <c r="L16" s="171">
        <f t="shared" si="7"/>
        <v>4450</v>
      </c>
      <c r="M16" s="171">
        <f t="shared" si="8"/>
        <v>53.4</v>
      </c>
      <c r="N16" s="171">
        <v>2</v>
      </c>
      <c r="O16" s="171">
        <v>0</v>
      </c>
      <c r="P16" s="171">
        <f t="shared" si="3"/>
        <v>2000</v>
      </c>
      <c r="Q16" s="171">
        <f t="shared" si="9"/>
        <v>400</v>
      </c>
      <c r="R16" s="171">
        <f t="shared" si="10"/>
        <v>28.8</v>
      </c>
      <c r="S16" s="171">
        <f t="shared" si="4"/>
        <v>107.19959999999999</v>
      </c>
      <c r="T16" s="270"/>
      <c r="U16" s="270"/>
      <c r="V16" s="270"/>
      <c r="W16" s="270">
        <f t="shared" si="11"/>
        <v>107.19959999999999</v>
      </c>
    </row>
    <row r="17" spans="1:23" s="31" customFormat="1">
      <c r="A17" s="293">
        <v>6</v>
      </c>
      <c r="B17" s="33" t="s">
        <v>73</v>
      </c>
      <c r="C17" s="128">
        <v>92</v>
      </c>
      <c r="D17" s="127">
        <v>6</v>
      </c>
      <c r="E17" s="171">
        <v>2083.3000000000002</v>
      </c>
      <c r="F17" s="171">
        <f>D17*E17</f>
        <v>12499.800000000001</v>
      </c>
      <c r="G17" s="171">
        <f t="shared" si="5"/>
        <v>149.99760000000001</v>
      </c>
      <c r="H17" s="171">
        <v>100</v>
      </c>
      <c r="I17" s="268">
        <f t="shared" si="1"/>
        <v>9200</v>
      </c>
      <c r="J17" s="171">
        <f t="shared" si="2"/>
        <v>7040</v>
      </c>
      <c r="K17" s="269">
        <f t="shared" si="6"/>
        <v>35200</v>
      </c>
      <c r="L17" s="171">
        <f t="shared" si="7"/>
        <v>35200</v>
      </c>
      <c r="M17" s="171">
        <f t="shared" si="8"/>
        <v>422.4</v>
      </c>
      <c r="N17" s="171">
        <v>0.5</v>
      </c>
      <c r="O17" s="171">
        <v>0</v>
      </c>
      <c r="P17" s="171">
        <f t="shared" si="3"/>
        <v>46000</v>
      </c>
      <c r="Q17" s="171">
        <f>P17*20%</f>
        <v>9200</v>
      </c>
      <c r="R17" s="171">
        <f t="shared" si="10"/>
        <v>662.4</v>
      </c>
      <c r="S17" s="171">
        <f t="shared" si="4"/>
        <v>1234.7975999999999</v>
      </c>
      <c r="T17" s="270"/>
      <c r="U17" s="270"/>
      <c r="V17" s="270"/>
      <c r="W17" s="270">
        <f t="shared" si="11"/>
        <v>1234.7975999999999</v>
      </c>
    </row>
    <row r="18" spans="1:23" s="31" customFormat="1">
      <c r="A18" s="293">
        <v>7</v>
      </c>
      <c r="B18" s="1" t="s">
        <v>72</v>
      </c>
      <c r="C18" s="129"/>
      <c r="D18" s="130">
        <v>1</v>
      </c>
      <c r="E18" s="171">
        <v>2083.3000000000002</v>
      </c>
      <c r="F18" s="171">
        <f t="shared" si="0"/>
        <v>2083.3000000000002</v>
      </c>
      <c r="G18" s="171">
        <f t="shared" si="5"/>
        <v>24.999600000000001</v>
      </c>
      <c r="H18" s="171">
        <v>360</v>
      </c>
      <c r="I18" s="268">
        <f>H18*D18</f>
        <v>360</v>
      </c>
      <c r="J18" s="171">
        <f t="shared" si="2"/>
        <v>0</v>
      </c>
      <c r="K18" s="269">
        <f t="shared" si="6"/>
        <v>0</v>
      </c>
      <c r="L18" s="171">
        <f t="shared" si="7"/>
        <v>0</v>
      </c>
      <c r="M18" s="171">
        <f t="shared" si="8"/>
        <v>0</v>
      </c>
      <c r="N18" s="171">
        <v>0</v>
      </c>
      <c r="O18" s="171">
        <v>0</v>
      </c>
      <c r="P18" s="171">
        <f t="shared" si="3"/>
        <v>0</v>
      </c>
      <c r="Q18" s="171">
        <f t="shared" si="9"/>
        <v>0</v>
      </c>
      <c r="R18" s="171">
        <f t="shared" si="10"/>
        <v>0</v>
      </c>
      <c r="S18" s="171">
        <f t="shared" si="4"/>
        <v>24.999600000000001</v>
      </c>
      <c r="T18" s="271"/>
      <c r="U18" s="271"/>
      <c r="V18" s="271"/>
      <c r="W18" s="270">
        <f t="shared" si="11"/>
        <v>24.999600000000001</v>
      </c>
    </row>
    <row r="19" spans="1:23" s="31" customFormat="1" ht="16.5">
      <c r="A19" s="297"/>
      <c r="B19" s="35" t="s">
        <v>24</v>
      </c>
      <c r="C19" s="36">
        <f>SUM(C12:C18)</f>
        <v>119</v>
      </c>
      <c r="D19" s="36">
        <f>SUM(D12:D18)</f>
        <v>34</v>
      </c>
      <c r="E19" s="272"/>
      <c r="F19" s="272">
        <f>SUM(F12:F18)</f>
        <v>70832.200000000012</v>
      </c>
      <c r="G19" s="272">
        <f>SUM(G12:G18)</f>
        <v>849.9864</v>
      </c>
      <c r="H19" s="272"/>
      <c r="I19" s="272">
        <f>SUM(I12:I18)</f>
        <v>51060</v>
      </c>
      <c r="J19" s="272"/>
      <c r="K19" s="273"/>
      <c r="L19" s="272">
        <f>SUM(L12:L18)</f>
        <v>194100</v>
      </c>
      <c r="M19" s="272">
        <f>SUM(M12:M18)</f>
        <v>2329.2000000000003</v>
      </c>
      <c r="N19" s="272"/>
      <c r="O19" s="272"/>
      <c r="P19" s="272"/>
      <c r="Q19" s="272"/>
      <c r="R19" s="272">
        <f>SUM(R12:R18)</f>
        <v>3427.2000000000003</v>
      </c>
      <c r="S19" s="274">
        <f>(R19+M19+G19)</f>
        <v>6606.3864000000003</v>
      </c>
      <c r="T19" s="272">
        <f>SUM(T10:T16)</f>
        <v>0</v>
      </c>
      <c r="U19" s="272">
        <f>SUM(U10:U16)</f>
        <v>0</v>
      </c>
      <c r="V19" s="272">
        <f>SUM(V10:V16)</f>
        <v>0</v>
      </c>
      <c r="W19" s="272">
        <f>SUM(W12:W18)</f>
        <v>6606.3863999999994</v>
      </c>
    </row>
    <row r="20" spans="1:23" s="55" customFormat="1">
      <c r="A20" s="294"/>
      <c r="B20" s="120"/>
      <c r="C20" s="121"/>
      <c r="D20" s="121"/>
      <c r="E20" s="121"/>
      <c r="F20" s="121"/>
      <c r="G20" s="124">
        <f>G19</f>
        <v>849.9864</v>
      </c>
      <c r="H20" s="121"/>
      <c r="I20" s="119"/>
      <c r="R20" s="122">
        <f>(R19+M19)</f>
        <v>5756.4000000000005</v>
      </c>
    </row>
    <row r="22" spans="1:23" ht="14.25">
      <c r="B22" s="341" t="s">
        <v>134</v>
      </c>
      <c r="C22" s="342"/>
      <c r="D22" s="56" t="s">
        <v>135</v>
      </c>
      <c r="E22" s="1" t="s">
        <v>136</v>
      </c>
      <c r="F22" s="1" t="s">
        <v>137</v>
      </c>
      <c r="G22" s="1" t="s">
        <v>138</v>
      </c>
      <c r="H22" s="1" t="s">
        <v>139</v>
      </c>
    </row>
    <row r="23" spans="1:23" ht="14.25">
      <c r="B23" s="348" t="s">
        <v>37</v>
      </c>
      <c r="C23" s="349"/>
      <c r="D23" s="267">
        <v>24</v>
      </c>
      <c r="E23" s="265">
        <v>95</v>
      </c>
      <c r="F23" s="265"/>
      <c r="G23" s="265"/>
      <c r="H23" s="34">
        <f>SUM(D23:G23)</f>
        <v>119</v>
      </c>
    </row>
    <row r="24" spans="1:23" ht="14.25">
      <c r="B24" s="59" t="s">
        <v>24</v>
      </c>
      <c r="C24" s="56"/>
      <c r="D24" s="60">
        <f>SUM(D23:D23)</f>
        <v>24</v>
      </c>
      <c r="E24" s="60">
        <f>SUM(E23:E23)</f>
        <v>95</v>
      </c>
      <c r="F24" s="60">
        <f>SUM(F23:F23)</f>
        <v>0</v>
      </c>
      <c r="G24" s="60">
        <f>SUM(G23:G23)</f>
        <v>0</v>
      </c>
      <c r="H24" s="60">
        <f>SUM(H23:H23)</f>
        <v>119</v>
      </c>
    </row>
    <row r="30" spans="1:23" ht="69" customHeight="1"/>
  </sheetData>
  <mergeCells count="18">
    <mergeCell ref="B1:F1"/>
    <mergeCell ref="S9:S10"/>
    <mergeCell ref="Q2:S2"/>
    <mergeCell ref="A9:A10"/>
    <mergeCell ref="B9:B10"/>
    <mergeCell ref="C9:C10"/>
    <mergeCell ref="D9:G9"/>
    <mergeCell ref="H9:M9"/>
    <mergeCell ref="N9:R9"/>
    <mergeCell ref="A6:W6"/>
    <mergeCell ref="A5:W5"/>
    <mergeCell ref="C3:H3"/>
    <mergeCell ref="B23:C23"/>
    <mergeCell ref="T9:T10"/>
    <mergeCell ref="U9:U10"/>
    <mergeCell ref="V9:V10"/>
    <mergeCell ref="W9:W10"/>
    <mergeCell ref="B22:C22"/>
  </mergeCells>
  <pageMargins left="0.39370078740157499" right="0.196850393700787" top="0.59055118110236204" bottom="0.59055118110236204" header="0.31496062992126" footer="0.31496062992126"/>
  <pageSetup paperSize="9" scale="67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W33"/>
  <sheetViews>
    <sheetView zoomScaleNormal="100" workbookViewId="0">
      <selection activeCell="B33" sqref="B33"/>
    </sheetView>
  </sheetViews>
  <sheetFormatPr defaultColWidth="8.42578125" defaultRowHeight="13.5"/>
  <cols>
    <col min="1" max="1" width="4.42578125" style="131" customWidth="1"/>
    <col min="2" max="2" width="21.42578125" style="131" customWidth="1"/>
    <col min="3" max="3" width="7.140625" style="131" customWidth="1"/>
    <col min="4" max="4" width="5.7109375" style="131" customWidth="1"/>
    <col min="5" max="5" width="8.140625" style="131" customWidth="1"/>
    <col min="6" max="6" width="11.5703125" style="131" bestFit="1" customWidth="1"/>
    <col min="7" max="7" width="10.140625" style="131" bestFit="1" customWidth="1"/>
    <col min="8" max="8" width="7.140625" style="131" customWidth="1"/>
    <col min="9" max="9" width="9.85546875" style="131" customWidth="1"/>
    <col min="10" max="10" width="9.7109375" style="131" bestFit="1" customWidth="1"/>
    <col min="11" max="11" width="10.140625" style="131" bestFit="1" customWidth="1"/>
    <col min="12" max="12" width="15.28515625" style="131" customWidth="1"/>
    <col min="13" max="13" width="12.140625" style="131" customWidth="1"/>
    <col min="14" max="14" width="7.5703125" style="131" customWidth="1"/>
    <col min="15" max="15" width="9.140625" style="131" customWidth="1"/>
    <col min="16" max="16" width="8.7109375" style="131" bestFit="1" customWidth="1"/>
    <col min="17" max="17" width="9.140625" style="131" customWidth="1"/>
    <col min="18" max="18" width="12.5703125" style="131" customWidth="1"/>
    <col min="19" max="21" width="9.140625" style="131" customWidth="1"/>
    <col min="22" max="22" width="7.42578125" style="131" bestFit="1" customWidth="1"/>
    <col min="23" max="244" width="9.140625" style="131" customWidth="1"/>
    <col min="245" max="245" width="4.42578125" style="131" customWidth="1"/>
    <col min="246" max="246" width="21.42578125" style="131" customWidth="1"/>
    <col min="247" max="247" width="7.140625" style="131" customWidth="1"/>
    <col min="248" max="248" width="5.7109375" style="131" customWidth="1"/>
    <col min="249" max="249" width="8.140625" style="131" customWidth="1"/>
    <col min="250" max="16384" width="8.42578125" style="131"/>
  </cols>
  <sheetData>
    <row r="1" spans="1:23" s="7" customFormat="1" ht="23.25" customHeight="1">
      <c r="A1" s="4"/>
      <c r="B1" s="332"/>
      <c r="C1" s="333"/>
      <c r="D1" s="333"/>
      <c r="E1" s="333"/>
      <c r="F1" s="333"/>
      <c r="G1" s="22"/>
      <c r="H1" s="22"/>
      <c r="I1" s="5"/>
      <c r="J1" s="5"/>
      <c r="K1" s="5"/>
      <c r="L1" s="5"/>
      <c r="Q1" s="5"/>
      <c r="R1" s="162" t="s">
        <v>47</v>
      </c>
      <c r="S1" s="22"/>
    </row>
    <row r="2" spans="1:23" s="7" customFormat="1" ht="15" customHeight="1">
      <c r="A2" s="4"/>
      <c r="B2" s="164"/>
      <c r="C2" s="166"/>
      <c r="D2" s="166"/>
      <c r="E2" s="166"/>
      <c r="F2" s="22"/>
      <c r="G2" s="22"/>
      <c r="H2" s="22"/>
      <c r="I2" s="5"/>
      <c r="J2" s="5"/>
      <c r="K2" s="5"/>
      <c r="L2" s="5"/>
      <c r="Q2" s="314" t="s">
        <v>21</v>
      </c>
      <c r="R2" s="314"/>
      <c r="S2" s="314"/>
    </row>
    <row r="3" spans="1:23" s="7" customFormat="1" ht="51" customHeight="1" thickBot="1">
      <c r="B3" s="9" t="s">
        <v>65</v>
      </c>
      <c r="C3" s="353" t="s">
        <v>181</v>
      </c>
      <c r="D3" s="353"/>
      <c r="E3" s="353"/>
      <c r="F3" s="353"/>
      <c r="G3" s="353"/>
      <c r="H3" s="353"/>
      <c r="I3" s="5"/>
      <c r="J3" s="5"/>
      <c r="K3" s="5"/>
      <c r="L3" s="5"/>
    </row>
    <row r="4" spans="1:23" s="7" customFormat="1">
      <c r="A4" s="4"/>
      <c r="B4" s="22"/>
      <c r="C4" s="22"/>
      <c r="D4" s="25"/>
      <c r="E4" s="25"/>
      <c r="F4" s="22"/>
      <c r="G4" s="22"/>
      <c r="H4" s="22"/>
      <c r="I4" s="26"/>
      <c r="J4" s="5"/>
      <c r="K4" s="5"/>
      <c r="L4" s="5"/>
      <c r="M4" s="5"/>
    </row>
    <row r="5" spans="1:23" s="14" customFormat="1" ht="15" customHeight="1">
      <c r="A5" s="337" t="s">
        <v>22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</row>
    <row r="6" spans="1:23" s="14" customFormat="1" ht="15" customHeight="1">
      <c r="A6" s="337" t="s">
        <v>212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</row>
    <row r="7" spans="1:23" s="14" customFormat="1" ht="12.75">
      <c r="A7" s="6"/>
      <c r="B7" s="29"/>
      <c r="C7" s="29"/>
      <c r="D7" s="29"/>
      <c r="E7" s="29"/>
      <c r="F7" s="29"/>
      <c r="G7" s="29"/>
      <c r="H7" s="29"/>
      <c r="I7" s="6"/>
      <c r="J7" s="6"/>
      <c r="K7" s="6"/>
      <c r="L7" s="6"/>
      <c r="O7" s="6"/>
      <c r="P7" s="6"/>
    </row>
    <row r="8" spans="1:23" s="7" customFormat="1">
      <c r="A8" s="5"/>
      <c r="B8" s="30"/>
      <c r="C8" s="25"/>
      <c r="D8" s="25"/>
      <c r="E8" s="25"/>
      <c r="F8" s="25"/>
      <c r="G8" s="25"/>
      <c r="H8" s="25"/>
      <c r="I8" s="5"/>
    </row>
    <row r="9" spans="1:23" s="31" customFormat="1" ht="12.75" customHeight="1">
      <c r="A9" s="343" t="s">
        <v>0</v>
      </c>
      <c r="B9" s="343" t="s">
        <v>54</v>
      </c>
      <c r="C9" s="343" t="s">
        <v>55</v>
      </c>
      <c r="D9" s="345" t="s">
        <v>56</v>
      </c>
      <c r="E9" s="346"/>
      <c r="F9" s="346"/>
      <c r="G9" s="347"/>
      <c r="H9" s="345" t="s">
        <v>57</v>
      </c>
      <c r="I9" s="346"/>
      <c r="J9" s="346"/>
      <c r="K9" s="346"/>
      <c r="L9" s="346"/>
      <c r="M9" s="347"/>
      <c r="N9" s="345" t="s">
        <v>58</v>
      </c>
      <c r="O9" s="346"/>
      <c r="P9" s="346"/>
      <c r="Q9" s="346"/>
      <c r="R9" s="347"/>
      <c r="S9" s="343" t="s">
        <v>118</v>
      </c>
      <c r="T9" s="351" t="s">
        <v>119</v>
      </c>
      <c r="U9" s="351" t="s">
        <v>120</v>
      </c>
      <c r="V9" s="351" t="s">
        <v>121</v>
      </c>
      <c r="W9" s="351" t="s">
        <v>122</v>
      </c>
    </row>
    <row r="10" spans="1:23" s="32" customFormat="1" ht="51">
      <c r="A10" s="344"/>
      <c r="B10" s="344"/>
      <c r="C10" s="344"/>
      <c r="D10" s="53" t="s">
        <v>59</v>
      </c>
      <c r="E10" s="53" t="s">
        <v>60</v>
      </c>
      <c r="F10" s="53" t="s">
        <v>123</v>
      </c>
      <c r="G10" s="53" t="s">
        <v>214</v>
      </c>
      <c r="H10" s="53" t="s">
        <v>61</v>
      </c>
      <c r="I10" s="53" t="s">
        <v>132</v>
      </c>
      <c r="J10" s="53" t="s">
        <v>124</v>
      </c>
      <c r="K10" s="53" t="s">
        <v>131</v>
      </c>
      <c r="L10" s="53" t="s">
        <v>130</v>
      </c>
      <c r="M10" s="53" t="s">
        <v>217</v>
      </c>
      <c r="N10" s="53" t="s">
        <v>63</v>
      </c>
      <c r="O10" s="53" t="s">
        <v>64</v>
      </c>
      <c r="P10" s="53" t="s">
        <v>129</v>
      </c>
      <c r="Q10" s="54" t="s">
        <v>125</v>
      </c>
      <c r="R10" s="53" t="s">
        <v>215</v>
      </c>
      <c r="S10" s="344"/>
      <c r="T10" s="351"/>
      <c r="U10" s="351"/>
      <c r="V10" s="351"/>
      <c r="W10" s="351"/>
    </row>
    <row r="11" spans="1:23" s="31" customFormat="1">
      <c r="A11" s="163" t="s">
        <v>117</v>
      </c>
      <c r="B11" s="163" t="s">
        <v>2</v>
      </c>
      <c r="C11" s="163" t="s">
        <v>3</v>
      </c>
      <c r="D11" s="163" t="s">
        <v>4</v>
      </c>
      <c r="E11" s="163" t="s">
        <v>19</v>
      </c>
      <c r="F11" s="163" t="s">
        <v>18</v>
      </c>
      <c r="G11" s="163" t="s">
        <v>17</v>
      </c>
      <c r="H11" s="163" t="s">
        <v>16</v>
      </c>
      <c r="I11" s="163" t="s">
        <v>5</v>
      </c>
      <c r="J11" s="163" t="s">
        <v>6</v>
      </c>
      <c r="K11" s="163" t="s">
        <v>15</v>
      </c>
      <c r="L11" s="163" t="s">
        <v>20</v>
      </c>
      <c r="M11" s="163" t="s">
        <v>126</v>
      </c>
      <c r="N11" s="163" t="s">
        <v>0</v>
      </c>
      <c r="O11" s="163" t="s">
        <v>14</v>
      </c>
      <c r="P11" s="163" t="s">
        <v>127</v>
      </c>
      <c r="Q11" s="163" t="s">
        <v>7</v>
      </c>
      <c r="R11" s="163" t="s">
        <v>8</v>
      </c>
      <c r="S11" s="163" t="s">
        <v>9</v>
      </c>
      <c r="T11" s="195" t="s">
        <v>10</v>
      </c>
      <c r="U11" s="195" t="s">
        <v>11</v>
      </c>
      <c r="V11" s="195" t="s">
        <v>13</v>
      </c>
      <c r="W11" s="195" t="s">
        <v>128</v>
      </c>
    </row>
    <row r="12" spans="1:23" s="31" customFormat="1">
      <c r="A12" s="293">
        <v>1</v>
      </c>
      <c r="B12" s="1" t="s">
        <v>66</v>
      </c>
      <c r="C12" s="127">
        <v>1</v>
      </c>
      <c r="D12" s="127">
        <v>1</v>
      </c>
      <c r="E12" s="171">
        <v>2083.3000000000002</v>
      </c>
      <c r="F12" s="171">
        <f t="shared" ref="F12:F18" si="0">D12*E12</f>
        <v>2083.3000000000002</v>
      </c>
      <c r="G12" s="171">
        <f>F12*12/1000</f>
        <v>24.999600000000001</v>
      </c>
      <c r="H12" s="171">
        <v>2250</v>
      </c>
      <c r="I12" s="268">
        <f t="shared" ref="I12:I17" si="1">H12*C12</f>
        <v>2250</v>
      </c>
      <c r="J12" s="171">
        <f t="shared" ref="J12:J18" si="2">I12-D12*360</f>
        <v>1890</v>
      </c>
      <c r="K12" s="269">
        <f>+J12*5</f>
        <v>9450</v>
      </c>
      <c r="L12" s="171">
        <f>+K12</f>
        <v>9450</v>
      </c>
      <c r="M12" s="171">
        <f>L12*12/1000</f>
        <v>113.4</v>
      </c>
      <c r="N12" s="171">
        <v>8</v>
      </c>
      <c r="O12" s="171">
        <v>0</v>
      </c>
      <c r="P12" s="171">
        <f t="shared" ref="P12:P18" si="3">(N12+O12)*1000*C12</f>
        <v>8000</v>
      </c>
      <c r="Q12" s="171">
        <f>P12*20%</f>
        <v>1600</v>
      </c>
      <c r="R12" s="171">
        <f>(P12+Q12)*12/1000</f>
        <v>115.2</v>
      </c>
      <c r="S12" s="171">
        <f t="shared" ref="S12:S18" si="4">G12+M12+R12</f>
        <v>253.59960000000001</v>
      </c>
      <c r="T12" s="270"/>
      <c r="U12" s="270"/>
      <c r="V12" s="270"/>
      <c r="W12" s="270">
        <f>+(S12+T12+U12+V12)</f>
        <v>253.59960000000001</v>
      </c>
    </row>
    <row r="13" spans="1:23" s="31" customFormat="1">
      <c r="A13" s="293">
        <v>2</v>
      </c>
      <c r="B13" s="1" t="s">
        <v>67</v>
      </c>
      <c r="C13" s="127">
        <v>7</v>
      </c>
      <c r="D13" s="127">
        <v>7</v>
      </c>
      <c r="E13" s="171">
        <v>2083.3000000000002</v>
      </c>
      <c r="F13" s="171">
        <f t="shared" si="0"/>
        <v>14583.100000000002</v>
      </c>
      <c r="G13" s="171">
        <f t="shared" ref="G13:G18" si="5">F13*12/1000</f>
        <v>174.99720000000002</v>
      </c>
      <c r="H13" s="171">
        <v>1500</v>
      </c>
      <c r="I13" s="268">
        <f t="shared" si="1"/>
        <v>10500</v>
      </c>
      <c r="J13" s="171">
        <f t="shared" si="2"/>
        <v>7980</v>
      </c>
      <c r="K13" s="269">
        <f t="shared" ref="K13:K18" si="6">+J13*5</f>
        <v>39900</v>
      </c>
      <c r="L13" s="171">
        <f t="shared" ref="L13:L18" si="7">+K13</f>
        <v>39900</v>
      </c>
      <c r="M13" s="171">
        <f t="shared" ref="M13:M18" si="8">L13*12/1000</f>
        <v>478.8</v>
      </c>
      <c r="N13" s="171">
        <v>6</v>
      </c>
      <c r="O13" s="171">
        <v>0</v>
      </c>
      <c r="P13" s="171">
        <f t="shared" si="3"/>
        <v>42000</v>
      </c>
      <c r="Q13" s="171">
        <f t="shared" ref="Q13:Q18" si="9">P13*20%</f>
        <v>8400</v>
      </c>
      <c r="R13" s="171">
        <f t="shared" ref="R13:R18" si="10">(P13+Q13)*12/1000</f>
        <v>604.79999999999995</v>
      </c>
      <c r="S13" s="171">
        <f t="shared" si="4"/>
        <v>1258.5971999999999</v>
      </c>
      <c r="T13" s="270"/>
      <c r="U13" s="270"/>
      <c r="V13" s="270"/>
      <c r="W13" s="270">
        <f t="shared" ref="W13:W18" si="11">+(S13+T13+U13+V13)</f>
        <v>1258.5971999999999</v>
      </c>
    </row>
    <row r="14" spans="1:23" s="31" customFormat="1">
      <c r="A14" s="293">
        <v>3</v>
      </c>
      <c r="B14" s="1" t="s">
        <v>68</v>
      </c>
      <c r="C14" s="127">
        <v>1</v>
      </c>
      <c r="D14" s="127">
        <v>1</v>
      </c>
      <c r="E14" s="171">
        <v>2083.3000000000002</v>
      </c>
      <c r="F14" s="171">
        <f t="shared" si="0"/>
        <v>2083.3000000000002</v>
      </c>
      <c r="G14" s="171">
        <f t="shared" si="5"/>
        <v>24.999600000000001</v>
      </c>
      <c r="H14" s="171">
        <v>1750</v>
      </c>
      <c r="I14" s="268">
        <f t="shared" si="1"/>
        <v>1750</v>
      </c>
      <c r="J14" s="171">
        <f t="shared" si="2"/>
        <v>1390</v>
      </c>
      <c r="K14" s="269">
        <f t="shared" si="6"/>
        <v>6950</v>
      </c>
      <c r="L14" s="171">
        <f t="shared" si="7"/>
        <v>6950</v>
      </c>
      <c r="M14" s="171">
        <f t="shared" si="8"/>
        <v>83.4</v>
      </c>
      <c r="N14" s="171">
        <v>4</v>
      </c>
      <c r="O14" s="171">
        <v>0</v>
      </c>
      <c r="P14" s="171">
        <f t="shared" si="3"/>
        <v>4000</v>
      </c>
      <c r="Q14" s="171">
        <f t="shared" si="9"/>
        <v>800</v>
      </c>
      <c r="R14" s="171">
        <f t="shared" si="10"/>
        <v>57.6</v>
      </c>
      <c r="S14" s="171">
        <f t="shared" si="4"/>
        <v>165.99960000000002</v>
      </c>
      <c r="T14" s="270"/>
      <c r="U14" s="270"/>
      <c r="V14" s="270"/>
      <c r="W14" s="270">
        <f t="shared" si="11"/>
        <v>165.99960000000002</v>
      </c>
    </row>
    <row r="15" spans="1:23" s="31" customFormat="1">
      <c r="A15" s="293">
        <v>4</v>
      </c>
      <c r="B15" s="1" t="s">
        <v>69</v>
      </c>
      <c r="C15" s="127">
        <v>1</v>
      </c>
      <c r="D15" s="127">
        <v>1</v>
      </c>
      <c r="E15" s="171">
        <v>2083.3000000000002</v>
      </c>
      <c r="F15" s="171">
        <f t="shared" si="0"/>
        <v>2083.3000000000002</v>
      </c>
      <c r="G15" s="171">
        <f t="shared" si="5"/>
        <v>24.999600000000001</v>
      </c>
      <c r="H15" s="171">
        <v>1750</v>
      </c>
      <c r="I15" s="268">
        <f t="shared" si="1"/>
        <v>1750</v>
      </c>
      <c r="J15" s="171">
        <f t="shared" si="2"/>
        <v>1390</v>
      </c>
      <c r="K15" s="269">
        <f t="shared" si="6"/>
        <v>6950</v>
      </c>
      <c r="L15" s="171">
        <f t="shared" si="7"/>
        <v>6950</v>
      </c>
      <c r="M15" s="171">
        <f t="shared" si="8"/>
        <v>83.4</v>
      </c>
      <c r="N15" s="171">
        <v>5</v>
      </c>
      <c r="O15" s="171">
        <v>0</v>
      </c>
      <c r="P15" s="171">
        <f t="shared" si="3"/>
        <v>5000</v>
      </c>
      <c r="Q15" s="171">
        <f t="shared" si="9"/>
        <v>1000</v>
      </c>
      <c r="R15" s="171">
        <f t="shared" si="10"/>
        <v>72</v>
      </c>
      <c r="S15" s="171">
        <f t="shared" si="4"/>
        <v>180.39960000000002</v>
      </c>
      <c r="T15" s="270"/>
      <c r="U15" s="270"/>
      <c r="V15" s="270"/>
      <c r="W15" s="270">
        <f t="shared" si="11"/>
        <v>180.39960000000002</v>
      </c>
    </row>
    <row r="16" spans="1:23" s="31" customFormat="1">
      <c r="A16" s="293">
        <v>5</v>
      </c>
      <c r="B16" s="1" t="s">
        <v>70</v>
      </c>
      <c r="C16" s="127">
        <v>1</v>
      </c>
      <c r="D16" s="127">
        <v>1</v>
      </c>
      <c r="E16" s="171">
        <v>2083.3000000000002</v>
      </c>
      <c r="F16" s="171">
        <f t="shared" si="0"/>
        <v>2083.3000000000002</v>
      </c>
      <c r="G16" s="171">
        <f t="shared" si="5"/>
        <v>24.999600000000001</v>
      </c>
      <c r="H16" s="171">
        <v>1250</v>
      </c>
      <c r="I16" s="268">
        <f t="shared" si="1"/>
        <v>1250</v>
      </c>
      <c r="J16" s="171">
        <f t="shared" si="2"/>
        <v>890</v>
      </c>
      <c r="K16" s="269">
        <f t="shared" si="6"/>
        <v>4450</v>
      </c>
      <c r="L16" s="171">
        <f t="shared" si="7"/>
        <v>4450</v>
      </c>
      <c r="M16" s="171">
        <f t="shared" si="8"/>
        <v>53.4</v>
      </c>
      <c r="N16" s="171">
        <v>2</v>
      </c>
      <c r="O16" s="171">
        <v>0</v>
      </c>
      <c r="P16" s="171">
        <f t="shared" si="3"/>
        <v>2000</v>
      </c>
      <c r="Q16" s="171">
        <f t="shared" si="9"/>
        <v>400</v>
      </c>
      <c r="R16" s="171">
        <f t="shared" si="10"/>
        <v>28.8</v>
      </c>
      <c r="S16" s="171">
        <f t="shared" si="4"/>
        <v>107.19959999999999</v>
      </c>
      <c r="T16" s="270"/>
      <c r="U16" s="270"/>
      <c r="V16" s="270"/>
      <c r="W16" s="270">
        <f t="shared" si="11"/>
        <v>107.19959999999999</v>
      </c>
    </row>
    <row r="17" spans="1:23" s="31" customFormat="1">
      <c r="A17" s="293">
        <v>7</v>
      </c>
      <c r="B17" s="33" t="s">
        <v>73</v>
      </c>
      <c r="C17" s="127">
        <v>24</v>
      </c>
      <c r="D17" s="130">
        <v>0</v>
      </c>
      <c r="E17" s="171">
        <v>2083.3000000000002</v>
      </c>
      <c r="F17" s="171">
        <f>D17*E17</f>
        <v>0</v>
      </c>
      <c r="G17" s="171">
        <f t="shared" si="5"/>
        <v>0</v>
      </c>
      <c r="H17" s="171">
        <v>100</v>
      </c>
      <c r="I17" s="268">
        <f t="shared" si="1"/>
        <v>2400</v>
      </c>
      <c r="J17" s="171">
        <f t="shared" si="2"/>
        <v>2400</v>
      </c>
      <c r="K17" s="269">
        <v>0</v>
      </c>
      <c r="L17" s="171">
        <f t="shared" si="7"/>
        <v>0</v>
      </c>
      <c r="M17" s="171">
        <f t="shared" si="8"/>
        <v>0</v>
      </c>
      <c r="N17" s="171">
        <v>0.5</v>
      </c>
      <c r="O17" s="171">
        <v>0</v>
      </c>
      <c r="P17" s="171">
        <f t="shared" si="3"/>
        <v>12000</v>
      </c>
      <c r="Q17" s="171">
        <f>P17*20%</f>
        <v>2400</v>
      </c>
      <c r="R17" s="171">
        <f t="shared" si="10"/>
        <v>172.8</v>
      </c>
      <c r="S17" s="171">
        <f t="shared" si="4"/>
        <v>172.8</v>
      </c>
      <c r="T17" s="270"/>
      <c r="U17" s="270"/>
      <c r="V17" s="270"/>
      <c r="W17" s="270">
        <f t="shared" si="11"/>
        <v>172.8</v>
      </c>
    </row>
    <row r="18" spans="1:23" s="31" customFormat="1">
      <c r="A18" s="293">
        <v>8</v>
      </c>
      <c r="B18" s="1" t="s">
        <v>72</v>
      </c>
      <c r="C18" s="130">
        <v>39</v>
      </c>
      <c r="D18" s="127">
        <v>1</v>
      </c>
      <c r="E18" s="171">
        <v>2083.3000000000002</v>
      </c>
      <c r="F18" s="171">
        <f t="shared" si="0"/>
        <v>2083.3000000000002</v>
      </c>
      <c r="G18" s="171">
        <f t="shared" si="5"/>
        <v>24.999600000000001</v>
      </c>
      <c r="H18" s="171">
        <v>360</v>
      </c>
      <c r="I18" s="268">
        <f>+H18*D18</f>
        <v>360</v>
      </c>
      <c r="J18" s="171">
        <f t="shared" si="2"/>
        <v>0</v>
      </c>
      <c r="K18" s="269">
        <f t="shared" si="6"/>
        <v>0</v>
      </c>
      <c r="L18" s="171">
        <f t="shared" si="7"/>
        <v>0</v>
      </c>
      <c r="M18" s="171">
        <f t="shared" si="8"/>
        <v>0</v>
      </c>
      <c r="N18" s="171">
        <v>0</v>
      </c>
      <c r="O18" s="171">
        <v>0</v>
      </c>
      <c r="P18" s="171">
        <f t="shared" si="3"/>
        <v>0</v>
      </c>
      <c r="Q18" s="171">
        <f t="shared" si="9"/>
        <v>0</v>
      </c>
      <c r="R18" s="171">
        <f t="shared" si="10"/>
        <v>0</v>
      </c>
      <c r="S18" s="171">
        <f t="shared" si="4"/>
        <v>24.999600000000001</v>
      </c>
      <c r="T18" s="271"/>
      <c r="U18" s="271"/>
      <c r="V18" s="271"/>
      <c r="W18" s="270">
        <f t="shared" si="11"/>
        <v>24.999600000000001</v>
      </c>
    </row>
    <row r="19" spans="1:23" s="31" customFormat="1" ht="16.5">
      <c r="A19" s="34"/>
      <c r="B19" s="35" t="s">
        <v>24</v>
      </c>
      <c r="C19" s="36">
        <f>SUM(C12:C18)</f>
        <v>74</v>
      </c>
      <c r="D19" s="36">
        <v>10</v>
      </c>
      <c r="E19" s="272"/>
      <c r="F19" s="272">
        <f>SUM(F12:F18)</f>
        <v>24999.599999999999</v>
      </c>
      <c r="G19" s="272">
        <f>SUM(G12:G18)</f>
        <v>299.99519999999995</v>
      </c>
      <c r="H19" s="272"/>
      <c r="I19" s="272">
        <f>SUM(I12:I18)</f>
        <v>20260</v>
      </c>
      <c r="J19" s="272"/>
      <c r="K19" s="273"/>
      <c r="L19" s="272">
        <f>SUM(L12:L18)</f>
        <v>67700</v>
      </c>
      <c r="M19" s="272">
        <f>SUM(M12:M18)</f>
        <v>812.4</v>
      </c>
      <c r="N19" s="272"/>
      <c r="O19" s="272"/>
      <c r="P19" s="272"/>
      <c r="Q19" s="272"/>
      <c r="R19" s="272">
        <f>SUM(R12:R18)</f>
        <v>1051.2</v>
      </c>
      <c r="S19" s="274">
        <f>(R19+M19+G19)</f>
        <v>2163.5951999999997</v>
      </c>
      <c r="T19" s="272">
        <f>SUM(T10:T16)</f>
        <v>0</v>
      </c>
      <c r="U19" s="272">
        <f>SUM(U10:U16)</f>
        <v>0</v>
      </c>
      <c r="V19" s="272">
        <f>SUM(V10:V16)</f>
        <v>0</v>
      </c>
      <c r="W19" s="272">
        <f>SUM(W12:W18)</f>
        <v>2163.5952000000002</v>
      </c>
    </row>
    <row r="20" spans="1:23" s="55" customFormat="1">
      <c r="A20" s="119"/>
      <c r="B20" s="120"/>
      <c r="C20" s="121"/>
      <c r="D20" s="121"/>
      <c r="E20" s="121"/>
      <c r="F20" s="121"/>
      <c r="G20" s="298">
        <f>G19</f>
        <v>299.99519999999995</v>
      </c>
      <c r="H20" s="121"/>
      <c r="I20" s="119"/>
      <c r="R20" s="122">
        <f>(R19+M19)</f>
        <v>1863.6</v>
      </c>
    </row>
    <row r="21" spans="1:23" s="55" customFormat="1">
      <c r="A21" s="119"/>
      <c r="B21" s="120"/>
      <c r="C21" s="121"/>
      <c r="D21" s="121"/>
      <c r="E21" s="121"/>
      <c r="F21" s="121"/>
      <c r="G21" s="121"/>
      <c r="H21" s="121"/>
      <c r="I21" s="119"/>
    </row>
    <row r="22" spans="1:23">
      <c r="J22" s="7"/>
      <c r="K22" s="7"/>
    </row>
    <row r="23" spans="1:23" ht="14.25">
      <c r="A23" s="341" t="s">
        <v>134</v>
      </c>
      <c r="B23" s="342"/>
      <c r="C23" s="56" t="s">
        <v>135</v>
      </c>
      <c r="D23" s="1" t="s">
        <v>136</v>
      </c>
      <c r="E23" s="1" t="s">
        <v>137</v>
      </c>
      <c r="F23" s="1" t="s">
        <v>138</v>
      </c>
      <c r="G23" s="1" t="s">
        <v>139</v>
      </c>
    </row>
    <row r="24" spans="1:23" ht="14.25">
      <c r="A24" s="348"/>
      <c r="B24" s="349"/>
      <c r="C24" s="1"/>
      <c r="D24" s="1"/>
      <c r="E24" s="1"/>
      <c r="F24" s="1"/>
      <c r="G24" s="34">
        <f>SUM(C24:F24)</f>
        <v>0</v>
      </c>
    </row>
    <row r="25" spans="1:23" ht="45.75" customHeight="1">
      <c r="A25" s="354" t="s">
        <v>193</v>
      </c>
      <c r="B25" s="355"/>
      <c r="C25" s="267">
        <v>8</v>
      </c>
      <c r="D25" s="265">
        <v>34</v>
      </c>
      <c r="E25" s="265"/>
      <c r="F25" s="265">
        <v>32</v>
      </c>
      <c r="G25" s="34">
        <f>SUM(C25:F25)</f>
        <v>74</v>
      </c>
    </row>
    <row r="26" spans="1:23" ht="14.25">
      <c r="A26" s="59" t="s">
        <v>24</v>
      </c>
      <c r="B26" s="56"/>
      <c r="C26" s="60">
        <f>+C24+C25</f>
        <v>8</v>
      </c>
      <c r="D26" s="60">
        <f>+D24+D25</f>
        <v>34</v>
      </c>
      <c r="E26" s="60">
        <f>+E24+E25</f>
        <v>0</v>
      </c>
      <c r="F26" s="60">
        <f>+F24+F25</f>
        <v>32</v>
      </c>
      <c r="G26" s="60">
        <f>+G24+G25</f>
        <v>74</v>
      </c>
    </row>
    <row r="33" ht="69" customHeight="1"/>
  </sheetData>
  <mergeCells count="19">
    <mergeCell ref="B1:F1"/>
    <mergeCell ref="S9:S10"/>
    <mergeCell ref="Q2:S2"/>
    <mergeCell ref="A9:A10"/>
    <mergeCell ref="B9:B10"/>
    <mergeCell ref="C9:C10"/>
    <mergeCell ref="D9:G9"/>
    <mergeCell ref="H9:M9"/>
    <mergeCell ref="N9:R9"/>
    <mergeCell ref="A6:W6"/>
    <mergeCell ref="A5:W5"/>
    <mergeCell ref="C3:H3"/>
    <mergeCell ref="A25:B25"/>
    <mergeCell ref="T9:T10"/>
    <mergeCell ref="U9:U10"/>
    <mergeCell ref="V9:V10"/>
    <mergeCell ref="W9:W10"/>
    <mergeCell ref="A23:B23"/>
    <mergeCell ref="A24:B24"/>
  </mergeCells>
  <pageMargins left="0.39370078740157499" right="0.39370078740157499" top="0.59055118110236204" bottom="0.59055118110236204" header="0.31496062992126" footer="0.31496062992126"/>
  <pageSetup paperSize="9" scale="60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W33"/>
  <sheetViews>
    <sheetView zoomScaleNormal="100" workbookViewId="0">
      <selection activeCell="C19" sqref="C19"/>
    </sheetView>
  </sheetViews>
  <sheetFormatPr defaultColWidth="5" defaultRowHeight="13.5"/>
  <cols>
    <col min="1" max="1" width="3.85546875" style="123" customWidth="1"/>
    <col min="2" max="2" width="22.140625" style="123" customWidth="1"/>
    <col min="3" max="3" width="4.7109375" style="123" customWidth="1"/>
    <col min="4" max="4" width="5" style="123" customWidth="1"/>
    <col min="5" max="5" width="9" style="123" bestFit="1" customWidth="1"/>
    <col min="6" max="6" width="8.85546875" style="123" bestFit="1" customWidth="1"/>
    <col min="7" max="7" width="11.42578125" style="123" bestFit="1" customWidth="1"/>
    <col min="8" max="8" width="8.28515625" style="123" bestFit="1" customWidth="1"/>
    <col min="9" max="9" width="9" style="123" bestFit="1" customWidth="1"/>
    <col min="10" max="10" width="8.42578125" style="123" bestFit="1" customWidth="1"/>
    <col min="11" max="11" width="9" style="123" bestFit="1" customWidth="1"/>
    <col min="12" max="12" width="10" style="123" bestFit="1" customWidth="1"/>
    <col min="13" max="13" width="8" style="123" bestFit="1" customWidth="1"/>
    <col min="14" max="14" width="8" style="123" customWidth="1"/>
    <col min="15" max="15" width="10.5703125" style="123" customWidth="1"/>
    <col min="16" max="16" width="8.140625" style="123" customWidth="1"/>
    <col min="17" max="17" width="9.140625" style="123" customWidth="1"/>
    <col min="18" max="18" width="14.85546875" style="123" customWidth="1"/>
    <col min="19" max="246" width="9.140625" style="123" customWidth="1"/>
    <col min="247" max="247" width="3.85546875" style="123" customWidth="1"/>
    <col min="248" max="248" width="22.140625" style="123" customWidth="1"/>
    <col min="249" max="249" width="4.7109375" style="123" customWidth="1"/>
    <col min="250" max="16384" width="5" style="123"/>
  </cols>
  <sheetData>
    <row r="1" spans="1:23" s="7" customFormat="1" ht="23.25" customHeight="1">
      <c r="A1" s="4"/>
      <c r="B1" s="332"/>
      <c r="C1" s="333"/>
      <c r="D1" s="333"/>
      <c r="E1" s="333"/>
      <c r="F1" s="333"/>
      <c r="G1" s="22"/>
      <c r="H1" s="22"/>
      <c r="I1" s="5"/>
      <c r="J1" s="5"/>
      <c r="K1" s="5"/>
      <c r="L1" s="5"/>
      <c r="Q1" s="5"/>
      <c r="R1" s="162" t="s">
        <v>47</v>
      </c>
      <c r="S1" s="22"/>
    </row>
    <row r="2" spans="1:23" s="7" customFormat="1" ht="15" customHeight="1">
      <c r="A2" s="4"/>
      <c r="B2" s="164"/>
      <c r="C2" s="166"/>
      <c r="D2" s="166"/>
      <c r="E2" s="166"/>
      <c r="F2" s="22"/>
      <c r="G2" s="22"/>
      <c r="H2" s="22"/>
      <c r="I2" s="5"/>
      <c r="J2" s="5"/>
      <c r="K2" s="5"/>
      <c r="L2" s="5"/>
      <c r="Q2" s="314" t="s">
        <v>21</v>
      </c>
      <c r="R2" s="314"/>
      <c r="S2" s="314"/>
    </row>
    <row r="3" spans="1:23" s="7" customFormat="1" ht="64.5" customHeight="1" thickBot="1">
      <c r="B3" s="9" t="s">
        <v>65</v>
      </c>
      <c r="C3" s="353" t="s">
        <v>182</v>
      </c>
      <c r="D3" s="353"/>
      <c r="E3" s="353"/>
      <c r="F3" s="353"/>
      <c r="G3" s="353"/>
      <c r="H3" s="353"/>
      <c r="I3" s="5"/>
      <c r="J3" s="5"/>
      <c r="K3" s="5"/>
      <c r="L3" s="5"/>
    </row>
    <row r="4" spans="1:23" s="7" customFormat="1">
      <c r="A4" s="4"/>
      <c r="B4" s="22"/>
      <c r="C4" s="22"/>
      <c r="D4" s="25"/>
      <c r="E4" s="25"/>
      <c r="F4" s="22"/>
      <c r="G4" s="22"/>
      <c r="H4" s="22"/>
      <c r="I4" s="26"/>
      <c r="J4" s="5"/>
      <c r="K4" s="5"/>
      <c r="L4" s="5"/>
      <c r="M4" s="5"/>
    </row>
    <row r="5" spans="1:23" s="14" customFormat="1" ht="15" customHeight="1">
      <c r="A5" s="337" t="s">
        <v>22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</row>
    <row r="6" spans="1:23" s="14" customFormat="1" ht="15" customHeight="1">
      <c r="A6" s="337" t="s">
        <v>212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</row>
    <row r="7" spans="1:23" s="14" customFormat="1" ht="12.75">
      <c r="A7" s="6"/>
      <c r="B7" s="29"/>
      <c r="C7" s="29"/>
      <c r="D7" s="29"/>
      <c r="E7" s="29"/>
      <c r="F7" s="29"/>
      <c r="G7" s="29"/>
      <c r="H7" s="29"/>
      <c r="I7" s="6"/>
      <c r="J7" s="6"/>
      <c r="K7" s="6"/>
      <c r="L7" s="6"/>
      <c r="O7" s="6"/>
      <c r="P7" s="6"/>
    </row>
    <row r="8" spans="1:23" s="7" customFormat="1">
      <c r="A8" s="5"/>
      <c r="B8" s="30"/>
      <c r="C8" s="25"/>
      <c r="D8" s="25"/>
      <c r="E8" s="25"/>
      <c r="F8" s="25"/>
      <c r="G8" s="25"/>
      <c r="H8" s="25"/>
      <c r="I8" s="5"/>
    </row>
    <row r="9" spans="1:23" s="31" customFormat="1" ht="12.75" customHeight="1">
      <c r="A9" s="343" t="s">
        <v>0</v>
      </c>
      <c r="B9" s="343" t="s">
        <v>54</v>
      </c>
      <c r="C9" s="343" t="s">
        <v>55</v>
      </c>
      <c r="D9" s="345" t="s">
        <v>56</v>
      </c>
      <c r="E9" s="346"/>
      <c r="F9" s="346"/>
      <c r="G9" s="347"/>
      <c r="H9" s="345" t="s">
        <v>57</v>
      </c>
      <c r="I9" s="346"/>
      <c r="J9" s="346"/>
      <c r="K9" s="346"/>
      <c r="L9" s="346"/>
      <c r="M9" s="347"/>
      <c r="N9" s="345" t="s">
        <v>58</v>
      </c>
      <c r="O9" s="346"/>
      <c r="P9" s="346"/>
      <c r="Q9" s="346"/>
      <c r="R9" s="347"/>
      <c r="S9" s="343" t="s">
        <v>118</v>
      </c>
      <c r="T9" s="343" t="s">
        <v>119</v>
      </c>
      <c r="U9" s="343" t="s">
        <v>120</v>
      </c>
      <c r="V9" s="343" t="s">
        <v>121</v>
      </c>
      <c r="W9" s="343" t="s">
        <v>122</v>
      </c>
    </row>
    <row r="10" spans="1:23" s="32" customFormat="1" ht="51">
      <c r="A10" s="344"/>
      <c r="B10" s="344"/>
      <c r="C10" s="344"/>
      <c r="D10" s="53" t="s">
        <v>59</v>
      </c>
      <c r="E10" s="53" t="s">
        <v>60</v>
      </c>
      <c r="F10" s="53" t="s">
        <v>123</v>
      </c>
      <c r="G10" s="53" t="s">
        <v>214</v>
      </c>
      <c r="H10" s="53" t="s">
        <v>61</v>
      </c>
      <c r="I10" s="53" t="s">
        <v>132</v>
      </c>
      <c r="J10" s="53" t="s">
        <v>124</v>
      </c>
      <c r="K10" s="53" t="s">
        <v>131</v>
      </c>
      <c r="L10" s="53" t="s">
        <v>130</v>
      </c>
      <c r="M10" s="53" t="s">
        <v>217</v>
      </c>
      <c r="N10" s="53" t="s">
        <v>63</v>
      </c>
      <c r="O10" s="53" t="s">
        <v>64</v>
      </c>
      <c r="P10" s="53" t="s">
        <v>129</v>
      </c>
      <c r="Q10" s="54" t="s">
        <v>125</v>
      </c>
      <c r="R10" s="53" t="s">
        <v>215</v>
      </c>
      <c r="S10" s="344"/>
      <c r="T10" s="344"/>
      <c r="U10" s="344"/>
      <c r="V10" s="344"/>
      <c r="W10" s="344"/>
    </row>
    <row r="11" spans="1:23" s="31" customFormat="1">
      <c r="A11" s="163" t="s">
        <v>117</v>
      </c>
      <c r="B11" s="163" t="s">
        <v>2</v>
      </c>
      <c r="C11" s="163" t="s">
        <v>3</v>
      </c>
      <c r="D11" s="163" t="s">
        <v>4</v>
      </c>
      <c r="E11" s="163" t="s">
        <v>19</v>
      </c>
      <c r="F11" s="163" t="s">
        <v>18</v>
      </c>
      <c r="G11" s="163" t="s">
        <v>17</v>
      </c>
      <c r="H11" s="163" t="s">
        <v>16</v>
      </c>
      <c r="I11" s="163" t="s">
        <v>5</v>
      </c>
      <c r="J11" s="163" t="s">
        <v>6</v>
      </c>
      <c r="K11" s="163" t="s">
        <v>15</v>
      </c>
      <c r="L11" s="163" t="s">
        <v>20</v>
      </c>
      <c r="M11" s="163" t="s">
        <v>126</v>
      </c>
      <c r="N11" s="163" t="s">
        <v>0</v>
      </c>
      <c r="O11" s="163" t="s">
        <v>14</v>
      </c>
      <c r="P11" s="163" t="s">
        <v>127</v>
      </c>
      <c r="Q11" s="163" t="s">
        <v>7</v>
      </c>
      <c r="R11" s="163" t="s">
        <v>8</v>
      </c>
      <c r="S11" s="163" t="s">
        <v>9</v>
      </c>
      <c r="T11" s="163" t="s">
        <v>10</v>
      </c>
      <c r="U11" s="163" t="s">
        <v>11</v>
      </c>
      <c r="V11" s="163" t="s">
        <v>13</v>
      </c>
      <c r="W11" s="163" t="s">
        <v>128</v>
      </c>
    </row>
    <row r="12" spans="1:23" s="31" customFormat="1">
      <c r="A12" s="293">
        <v>1</v>
      </c>
      <c r="B12" s="1" t="s">
        <v>66</v>
      </c>
      <c r="C12" s="118">
        <v>1</v>
      </c>
      <c r="D12" s="80">
        <v>1</v>
      </c>
      <c r="E12" s="171">
        <v>2083.3000000000002</v>
      </c>
      <c r="F12" s="171">
        <f t="shared" ref="F12:F19" si="0">D12*E12</f>
        <v>2083.3000000000002</v>
      </c>
      <c r="G12" s="171">
        <f>F12*12/1000</f>
        <v>24.999600000000001</v>
      </c>
      <c r="H12" s="171">
        <v>2250</v>
      </c>
      <c r="I12" s="268">
        <f t="shared" ref="I12:I17" si="1">H12*C12</f>
        <v>2250</v>
      </c>
      <c r="J12" s="171">
        <f t="shared" ref="J12:J19" si="2">I12-D12*360</f>
        <v>1890</v>
      </c>
      <c r="K12" s="269">
        <f>+J12*5</f>
        <v>9450</v>
      </c>
      <c r="L12" s="171">
        <f>+K12</f>
        <v>9450</v>
      </c>
      <c r="M12" s="171">
        <f>L12*12/1000</f>
        <v>113.4</v>
      </c>
      <c r="N12" s="171">
        <v>8</v>
      </c>
      <c r="O12" s="171">
        <v>0</v>
      </c>
      <c r="P12" s="171">
        <f t="shared" ref="P12:P17" si="3">(N12+O12)*1000*C12</f>
        <v>8000</v>
      </c>
      <c r="Q12" s="171">
        <f>P12*20%</f>
        <v>1600</v>
      </c>
      <c r="R12" s="171">
        <f>(P12+Q12)*12/1000</f>
        <v>115.2</v>
      </c>
      <c r="S12" s="171">
        <f t="shared" ref="S12:S19" si="4">G12+M12+R12</f>
        <v>253.59960000000001</v>
      </c>
      <c r="T12" s="270"/>
      <c r="U12" s="270"/>
      <c r="V12" s="270"/>
      <c r="W12" s="270">
        <f>+(S12+T12+U12+V12)</f>
        <v>253.59960000000001</v>
      </c>
    </row>
    <row r="13" spans="1:23" s="31" customFormat="1">
      <c r="A13" s="293">
        <v>2</v>
      </c>
      <c r="B13" s="1" t="s">
        <v>67</v>
      </c>
      <c r="C13" s="118">
        <v>13</v>
      </c>
      <c r="D13" s="80">
        <v>19</v>
      </c>
      <c r="E13" s="171">
        <v>2083.3000000000002</v>
      </c>
      <c r="F13" s="171">
        <f t="shared" si="0"/>
        <v>39582.700000000004</v>
      </c>
      <c r="G13" s="171">
        <f t="shared" ref="G13:G19" si="5">F13*12/1000</f>
        <v>474.99240000000003</v>
      </c>
      <c r="H13" s="171">
        <v>1500</v>
      </c>
      <c r="I13" s="268">
        <f t="shared" si="1"/>
        <v>19500</v>
      </c>
      <c r="J13" s="171">
        <f t="shared" si="2"/>
        <v>12660</v>
      </c>
      <c r="K13" s="269">
        <f t="shared" ref="K13:K19" si="6">+J13*5</f>
        <v>63300</v>
      </c>
      <c r="L13" s="171">
        <f t="shared" ref="L13:L19" si="7">+K13</f>
        <v>63300</v>
      </c>
      <c r="M13" s="171">
        <f t="shared" ref="M13:M19" si="8">L13*12/1000</f>
        <v>759.6</v>
      </c>
      <c r="N13" s="171">
        <v>6</v>
      </c>
      <c r="O13" s="171">
        <v>0</v>
      </c>
      <c r="P13" s="171">
        <f t="shared" si="3"/>
        <v>78000</v>
      </c>
      <c r="Q13" s="171">
        <f t="shared" ref="Q13:Q19" si="9">P13*20%</f>
        <v>15600</v>
      </c>
      <c r="R13" s="171">
        <f t="shared" ref="R13:R19" si="10">(P13+Q13)*12/1000</f>
        <v>1123.2</v>
      </c>
      <c r="S13" s="171">
        <f t="shared" si="4"/>
        <v>2357.7924000000003</v>
      </c>
      <c r="T13" s="270"/>
      <c r="U13" s="270"/>
      <c r="V13" s="270"/>
      <c r="W13" s="270">
        <f t="shared" ref="W13:W19" si="11">+(S13+T13+U13+V13)</f>
        <v>2357.7924000000003</v>
      </c>
    </row>
    <row r="14" spans="1:23" s="31" customFormat="1">
      <c r="A14" s="293">
        <v>3</v>
      </c>
      <c r="B14" s="1" t="s">
        <v>68</v>
      </c>
      <c r="C14" s="118">
        <v>1</v>
      </c>
      <c r="D14" s="80">
        <v>1</v>
      </c>
      <c r="E14" s="171">
        <v>2083.3000000000002</v>
      </c>
      <c r="F14" s="171">
        <f t="shared" si="0"/>
        <v>2083.3000000000002</v>
      </c>
      <c r="G14" s="171">
        <f t="shared" si="5"/>
        <v>24.999600000000001</v>
      </c>
      <c r="H14" s="171">
        <v>1750</v>
      </c>
      <c r="I14" s="268">
        <f t="shared" si="1"/>
        <v>1750</v>
      </c>
      <c r="J14" s="171">
        <f t="shared" si="2"/>
        <v>1390</v>
      </c>
      <c r="K14" s="269">
        <f t="shared" si="6"/>
        <v>6950</v>
      </c>
      <c r="L14" s="171">
        <f t="shared" si="7"/>
        <v>6950</v>
      </c>
      <c r="M14" s="171">
        <f t="shared" si="8"/>
        <v>83.4</v>
      </c>
      <c r="N14" s="171">
        <v>4</v>
      </c>
      <c r="O14" s="171">
        <v>0</v>
      </c>
      <c r="P14" s="171">
        <f t="shared" si="3"/>
        <v>4000</v>
      </c>
      <c r="Q14" s="171">
        <f t="shared" si="9"/>
        <v>800</v>
      </c>
      <c r="R14" s="171">
        <f t="shared" si="10"/>
        <v>57.6</v>
      </c>
      <c r="S14" s="171">
        <f t="shared" si="4"/>
        <v>165.99960000000002</v>
      </c>
      <c r="T14" s="270"/>
      <c r="U14" s="270"/>
      <c r="V14" s="270"/>
      <c r="W14" s="270">
        <f t="shared" si="11"/>
        <v>165.99960000000002</v>
      </c>
    </row>
    <row r="15" spans="1:23" s="31" customFormat="1">
      <c r="A15" s="293">
        <v>4</v>
      </c>
      <c r="B15" s="1" t="s">
        <v>69</v>
      </c>
      <c r="C15" s="118">
        <v>1</v>
      </c>
      <c r="D15" s="80">
        <v>1</v>
      </c>
      <c r="E15" s="171">
        <v>2083.3000000000002</v>
      </c>
      <c r="F15" s="171">
        <f t="shared" si="0"/>
        <v>2083.3000000000002</v>
      </c>
      <c r="G15" s="171">
        <f t="shared" si="5"/>
        <v>24.999600000000001</v>
      </c>
      <c r="H15" s="171">
        <v>1750</v>
      </c>
      <c r="I15" s="268">
        <f t="shared" si="1"/>
        <v>1750</v>
      </c>
      <c r="J15" s="171">
        <f t="shared" si="2"/>
        <v>1390</v>
      </c>
      <c r="K15" s="269">
        <f t="shared" si="6"/>
        <v>6950</v>
      </c>
      <c r="L15" s="171">
        <f t="shared" si="7"/>
        <v>6950</v>
      </c>
      <c r="M15" s="171">
        <f t="shared" si="8"/>
        <v>83.4</v>
      </c>
      <c r="N15" s="171">
        <v>5</v>
      </c>
      <c r="O15" s="171">
        <v>0</v>
      </c>
      <c r="P15" s="171">
        <f t="shared" si="3"/>
        <v>5000</v>
      </c>
      <c r="Q15" s="171">
        <f t="shared" si="9"/>
        <v>1000</v>
      </c>
      <c r="R15" s="171">
        <f t="shared" si="10"/>
        <v>72</v>
      </c>
      <c r="S15" s="171">
        <f t="shared" si="4"/>
        <v>180.39960000000002</v>
      </c>
      <c r="T15" s="270"/>
      <c r="U15" s="270"/>
      <c r="V15" s="270"/>
      <c r="W15" s="270">
        <f t="shared" si="11"/>
        <v>180.39960000000002</v>
      </c>
    </row>
    <row r="16" spans="1:23" s="31" customFormat="1">
      <c r="A16" s="293">
        <v>5</v>
      </c>
      <c r="B16" s="1" t="s">
        <v>70</v>
      </c>
      <c r="C16" s="118">
        <v>1</v>
      </c>
      <c r="D16" s="80">
        <v>1</v>
      </c>
      <c r="E16" s="171">
        <v>2083.3000000000002</v>
      </c>
      <c r="F16" s="171">
        <f t="shared" si="0"/>
        <v>2083.3000000000002</v>
      </c>
      <c r="G16" s="171">
        <f t="shared" si="5"/>
        <v>24.999600000000001</v>
      </c>
      <c r="H16" s="171">
        <v>1250</v>
      </c>
      <c r="I16" s="268">
        <f t="shared" si="1"/>
        <v>1250</v>
      </c>
      <c r="J16" s="171">
        <f t="shared" si="2"/>
        <v>890</v>
      </c>
      <c r="K16" s="269">
        <f t="shared" si="6"/>
        <v>4450</v>
      </c>
      <c r="L16" s="171">
        <f t="shared" si="7"/>
        <v>4450</v>
      </c>
      <c r="M16" s="171">
        <f t="shared" si="8"/>
        <v>53.4</v>
      </c>
      <c r="N16" s="171">
        <v>2</v>
      </c>
      <c r="O16" s="171">
        <v>0</v>
      </c>
      <c r="P16" s="171">
        <f t="shared" si="3"/>
        <v>2000</v>
      </c>
      <c r="Q16" s="171">
        <f t="shared" si="9"/>
        <v>400</v>
      </c>
      <c r="R16" s="171">
        <f t="shared" si="10"/>
        <v>28.8</v>
      </c>
      <c r="S16" s="171">
        <f t="shared" si="4"/>
        <v>107.19959999999999</v>
      </c>
      <c r="T16" s="270"/>
      <c r="U16" s="270"/>
      <c r="V16" s="270"/>
      <c r="W16" s="270">
        <f t="shared" si="11"/>
        <v>107.19959999999999</v>
      </c>
    </row>
    <row r="17" spans="1:23" s="31" customFormat="1" ht="27">
      <c r="A17" s="293">
        <v>6</v>
      </c>
      <c r="B17" s="33" t="s">
        <v>71</v>
      </c>
      <c r="C17" s="118">
        <v>5</v>
      </c>
      <c r="D17" s="80">
        <v>3</v>
      </c>
      <c r="E17" s="171">
        <v>2083.3000000000002</v>
      </c>
      <c r="F17" s="171">
        <f t="shared" si="0"/>
        <v>6249.9000000000005</v>
      </c>
      <c r="G17" s="171">
        <f t="shared" si="5"/>
        <v>74.998800000000003</v>
      </c>
      <c r="H17" s="171">
        <v>1750</v>
      </c>
      <c r="I17" s="268">
        <f t="shared" si="1"/>
        <v>8750</v>
      </c>
      <c r="J17" s="171">
        <f t="shared" si="2"/>
        <v>7670</v>
      </c>
      <c r="K17" s="269">
        <f t="shared" si="6"/>
        <v>38350</v>
      </c>
      <c r="L17" s="171">
        <f t="shared" si="7"/>
        <v>38350</v>
      </c>
      <c r="M17" s="171">
        <f t="shared" si="8"/>
        <v>460.2</v>
      </c>
      <c r="N17" s="171">
        <v>3</v>
      </c>
      <c r="O17" s="171">
        <v>0</v>
      </c>
      <c r="P17" s="171">
        <f t="shared" si="3"/>
        <v>15000</v>
      </c>
      <c r="Q17" s="171">
        <f t="shared" si="9"/>
        <v>3000</v>
      </c>
      <c r="R17" s="171">
        <f t="shared" si="10"/>
        <v>216</v>
      </c>
      <c r="S17" s="171">
        <f t="shared" si="4"/>
        <v>751.19880000000001</v>
      </c>
      <c r="T17" s="270"/>
      <c r="U17" s="270"/>
      <c r="V17" s="270"/>
      <c r="W17" s="270">
        <f t="shared" si="11"/>
        <v>751.19880000000001</v>
      </c>
    </row>
    <row r="18" spans="1:23" s="31" customFormat="1">
      <c r="A18" s="293">
        <v>7</v>
      </c>
      <c r="B18" s="33" t="s">
        <v>73</v>
      </c>
      <c r="C18" s="118">
        <v>37</v>
      </c>
      <c r="D18" s="80">
        <v>0</v>
      </c>
      <c r="E18" s="171">
        <v>2083.3000000000002</v>
      </c>
      <c r="F18" s="171">
        <f>D18*E18</f>
        <v>0</v>
      </c>
      <c r="G18" s="171">
        <f t="shared" si="5"/>
        <v>0</v>
      </c>
      <c r="H18" s="171">
        <v>100</v>
      </c>
      <c r="I18" s="268">
        <v>0</v>
      </c>
      <c r="J18" s="171">
        <f t="shared" si="2"/>
        <v>0</v>
      </c>
      <c r="K18" s="269">
        <v>0</v>
      </c>
      <c r="L18" s="171">
        <f t="shared" si="7"/>
        <v>0</v>
      </c>
      <c r="M18" s="171">
        <f t="shared" si="8"/>
        <v>0</v>
      </c>
      <c r="N18" s="171">
        <v>0.5</v>
      </c>
      <c r="O18" s="171">
        <v>0</v>
      </c>
      <c r="P18" s="171">
        <v>0</v>
      </c>
      <c r="Q18" s="171">
        <f>P18*20%</f>
        <v>0</v>
      </c>
      <c r="R18" s="171">
        <f t="shared" si="10"/>
        <v>0</v>
      </c>
      <c r="S18" s="171">
        <f t="shared" si="4"/>
        <v>0</v>
      </c>
      <c r="T18" s="271"/>
      <c r="U18" s="271"/>
      <c r="V18" s="271"/>
      <c r="W18" s="270">
        <f t="shared" si="11"/>
        <v>0</v>
      </c>
    </row>
    <row r="19" spans="1:23" s="31" customFormat="1" ht="14.25">
      <c r="A19" s="293">
        <v>8</v>
      </c>
      <c r="B19" s="1" t="s">
        <v>72</v>
      </c>
      <c r="C19" s="118">
        <v>64</v>
      </c>
      <c r="D19" s="80">
        <v>1</v>
      </c>
      <c r="E19" s="171">
        <v>2083.3000000000002</v>
      </c>
      <c r="F19" s="171">
        <f t="shared" si="0"/>
        <v>2083.3000000000002</v>
      </c>
      <c r="G19" s="171">
        <f t="shared" si="5"/>
        <v>24.999600000000001</v>
      </c>
      <c r="H19" s="171">
        <v>360</v>
      </c>
      <c r="I19" s="268">
        <f>H19*D19</f>
        <v>360</v>
      </c>
      <c r="J19" s="171">
        <f t="shared" si="2"/>
        <v>0</v>
      </c>
      <c r="K19" s="269">
        <f t="shared" si="6"/>
        <v>0</v>
      </c>
      <c r="L19" s="171">
        <f t="shared" si="7"/>
        <v>0</v>
      </c>
      <c r="M19" s="171">
        <f t="shared" si="8"/>
        <v>0</v>
      </c>
      <c r="N19" s="171">
        <v>0</v>
      </c>
      <c r="O19" s="171">
        <v>0</v>
      </c>
      <c r="P19" s="171">
        <f>(N19+O19)*1000*C19</f>
        <v>0</v>
      </c>
      <c r="Q19" s="171">
        <f t="shared" si="9"/>
        <v>0</v>
      </c>
      <c r="R19" s="171">
        <f t="shared" si="10"/>
        <v>0</v>
      </c>
      <c r="S19" s="171">
        <f t="shared" si="4"/>
        <v>24.999600000000001</v>
      </c>
      <c r="T19" s="280"/>
      <c r="U19" s="280"/>
      <c r="V19" s="280"/>
      <c r="W19" s="270">
        <f t="shared" si="11"/>
        <v>24.999600000000001</v>
      </c>
    </row>
    <row r="20" spans="1:23" s="31" customFormat="1" ht="16.5">
      <c r="A20" s="34"/>
      <c r="B20" s="35" t="s">
        <v>24</v>
      </c>
      <c r="C20" s="36">
        <f>SUM(C12:C19)</f>
        <v>123</v>
      </c>
      <c r="D20" s="36">
        <f>SUM(D12:D19)</f>
        <v>27</v>
      </c>
      <c r="E20" s="272"/>
      <c r="F20" s="272">
        <f>SUM(F12:F19)</f>
        <v>56249.10000000002</v>
      </c>
      <c r="G20" s="272">
        <f>SUM(G12:G19)</f>
        <v>674.98919999999998</v>
      </c>
      <c r="H20" s="272"/>
      <c r="I20" s="272">
        <f>SUM(I12:I19)</f>
        <v>35610</v>
      </c>
      <c r="J20" s="272"/>
      <c r="K20" s="273"/>
      <c r="L20" s="272">
        <f>SUM(L12:L19)</f>
        <v>129450</v>
      </c>
      <c r="M20" s="272">
        <f>SUM(M12:M19)</f>
        <v>1553.4</v>
      </c>
      <c r="N20" s="272"/>
      <c r="O20" s="272"/>
      <c r="P20" s="272"/>
      <c r="Q20" s="272"/>
      <c r="R20" s="272">
        <f>SUM(R12:R19)</f>
        <v>1612.8</v>
      </c>
      <c r="S20" s="274">
        <f>(R20+M20+G20)</f>
        <v>3841.1891999999998</v>
      </c>
      <c r="T20" s="272">
        <f>SUM(T11:T17)</f>
        <v>0</v>
      </c>
      <c r="U20" s="272">
        <f>SUM(U11:U17)</f>
        <v>0</v>
      </c>
      <c r="V20" s="272">
        <f>SUM(V11:V17)</f>
        <v>0</v>
      </c>
      <c r="W20" s="272">
        <f>SUM(W12:W19)</f>
        <v>3841.1892000000007</v>
      </c>
    </row>
    <row r="21" spans="1:23" s="55" customFormat="1">
      <c r="A21" s="119"/>
      <c r="B21" s="120"/>
      <c r="C21" s="121"/>
      <c r="D21" s="121"/>
      <c r="E21" s="121"/>
      <c r="F21" s="121"/>
      <c r="G21" s="298">
        <f>G20</f>
        <v>674.98919999999998</v>
      </c>
      <c r="H21" s="121"/>
      <c r="I21" s="119"/>
      <c r="R21" s="122">
        <f>(R20+M20)</f>
        <v>3166.2</v>
      </c>
    </row>
    <row r="22" spans="1:23" s="55" customFormat="1">
      <c r="A22" s="119"/>
      <c r="B22" s="120"/>
      <c r="C22" s="121"/>
      <c r="D22" s="121"/>
      <c r="E22" s="121"/>
      <c r="F22" s="121"/>
      <c r="G22" s="121"/>
      <c r="H22" s="121"/>
      <c r="I22" s="119"/>
    </row>
    <row r="25" spans="1:23" ht="14.25">
      <c r="B25" s="341" t="s">
        <v>134</v>
      </c>
      <c r="C25" s="342"/>
      <c r="D25" s="56" t="s">
        <v>135</v>
      </c>
      <c r="E25" s="1" t="s">
        <v>136</v>
      </c>
      <c r="F25" s="1" t="s">
        <v>137</v>
      </c>
      <c r="G25" s="1" t="s">
        <v>138</v>
      </c>
      <c r="H25" s="1" t="s">
        <v>139</v>
      </c>
    </row>
    <row r="26" spans="1:23" ht="14.25">
      <c r="B26" s="348"/>
      <c r="C26" s="349"/>
      <c r="D26" s="1"/>
      <c r="E26" s="1"/>
      <c r="F26" s="1"/>
      <c r="G26" s="1"/>
      <c r="H26" s="34">
        <f>SUM(D26:G26)</f>
        <v>0</v>
      </c>
    </row>
    <row r="27" spans="1:23" ht="57" customHeight="1">
      <c r="B27" s="354" t="s">
        <v>182</v>
      </c>
      <c r="C27" s="355"/>
      <c r="D27" s="56">
        <v>14</v>
      </c>
      <c r="E27" s="1">
        <v>56</v>
      </c>
      <c r="F27" s="1"/>
      <c r="G27" s="1">
        <v>53</v>
      </c>
      <c r="H27" s="34">
        <f>SUM(D27:G27)</f>
        <v>123</v>
      </c>
    </row>
    <row r="28" spans="1:23" ht="14.25">
      <c r="B28" s="59" t="s">
        <v>24</v>
      </c>
      <c r="C28" s="56"/>
      <c r="D28" s="60">
        <f>+D26+D27</f>
        <v>14</v>
      </c>
      <c r="E28" s="60">
        <f>+E26+E27</f>
        <v>56</v>
      </c>
      <c r="F28" s="60">
        <f>+F26+F27</f>
        <v>0</v>
      </c>
      <c r="G28" s="60">
        <f>+G26+G27</f>
        <v>53</v>
      </c>
      <c r="H28" s="60">
        <f>+H26+H27</f>
        <v>123</v>
      </c>
    </row>
    <row r="33" ht="69" customHeight="1"/>
  </sheetData>
  <mergeCells count="19">
    <mergeCell ref="B1:F1"/>
    <mergeCell ref="S9:S10"/>
    <mergeCell ref="Q2:S2"/>
    <mergeCell ref="A9:A10"/>
    <mergeCell ref="B9:B10"/>
    <mergeCell ref="C9:C10"/>
    <mergeCell ref="D9:G9"/>
    <mergeCell ref="H9:M9"/>
    <mergeCell ref="N9:R9"/>
    <mergeCell ref="A6:W6"/>
    <mergeCell ref="A5:W5"/>
    <mergeCell ref="C3:H3"/>
    <mergeCell ref="B27:C27"/>
    <mergeCell ref="T9:T10"/>
    <mergeCell ref="U9:U10"/>
    <mergeCell ref="V9:V10"/>
    <mergeCell ref="W9:W10"/>
    <mergeCell ref="B25:C25"/>
    <mergeCell ref="B26:C26"/>
  </mergeCells>
  <pageMargins left="0.511811023622047" right="0.15748031496063" top="0.39370078740157499" bottom="0.196850393700787" header="0.196850393700787" footer="0.23622047244094499"/>
  <pageSetup paperSize="9" scale="64"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W32"/>
  <sheetViews>
    <sheetView topLeftCell="K1" zoomScaleNormal="100" workbookViewId="0">
      <selection activeCell="C19" sqref="C19"/>
    </sheetView>
  </sheetViews>
  <sheetFormatPr defaultColWidth="4.7109375" defaultRowHeight="13.5"/>
  <cols>
    <col min="1" max="1" width="3.140625" style="294" customWidth="1"/>
    <col min="2" max="2" width="23.5703125" style="120" customWidth="1"/>
    <col min="3" max="3" width="5" style="121" customWidth="1"/>
    <col min="4" max="4" width="4.7109375" style="121" customWidth="1"/>
    <col min="5" max="5" width="9" style="121" bestFit="1" customWidth="1"/>
    <col min="6" max="6" width="9.140625" style="121" bestFit="1" customWidth="1"/>
    <col min="7" max="7" width="11.42578125" style="121" bestFit="1" customWidth="1"/>
    <col min="8" max="8" width="9.140625" style="121" bestFit="1" customWidth="1"/>
    <col min="9" max="9" width="8.7109375" style="119" bestFit="1" customWidth="1"/>
    <col min="10" max="10" width="8.42578125" style="55" bestFit="1" customWidth="1"/>
    <col min="11" max="11" width="8.7109375" style="55" bestFit="1" customWidth="1"/>
    <col min="12" max="12" width="9.7109375" style="55" bestFit="1" customWidth="1"/>
    <col min="13" max="13" width="11.85546875" style="55" bestFit="1" customWidth="1"/>
    <col min="14" max="14" width="7" style="55" bestFit="1" customWidth="1"/>
    <col min="15" max="15" width="9.140625" style="55" bestFit="1" customWidth="1"/>
    <col min="16" max="16" width="9.85546875" style="55" bestFit="1" customWidth="1"/>
    <col min="17" max="17" width="9.140625" style="55" bestFit="1" customWidth="1"/>
    <col min="18" max="18" width="12.28515625" style="55" bestFit="1" customWidth="1"/>
    <col min="19" max="19" width="11" style="55" bestFit="1" customWidth="1"/>
    <col min="20" max="20" width="9.140625" style="55" customWidth="1"/>
    <col min="21" max="21" width="8.85546875" style="55" bestFit="1" customWidth="1"/>
    <col min="22" max="22" width="6.85546875" style="55" bestFit="1" customWidth="1"/>
    <col min="23" max="23" width="11" style="55" bestFit="1" customWidth="1"/>
    <col min="24" max="246" width="9.140625" style="55" customWidth="1"/>
    <col min="247" max="247" width="2.28515625" style="55" customWidth="1"/>
    <col min="248" max="248" width="19.28515625" style="55" customWidth="1"/>
    <col min="249" max="249" width="5" style="55" customWidth="1"/>
    <col min="250" max="16384" width="4.7109375" style="55"/>
  </cols>
  <sheetData>
    <row r="1" spans="1:23" s="7" customFormat="1" ht="23.25" customHeight="1">
      <c r="A1" s="296"/>
      <c r="B1" s="332"/>
      <c r="C1" s="333"/>
      <c r="D1" s="333"/>
      <c r="E1" s="333"/>
      <c r="F1" s="333"/>
      <c r="G1" s="22"/>
      <c r="H1" s="22"/>
      <c r="I1" s="5"/>
      <c r="J1" s="5"/>
      <c r="K1" s="5"/>
      <c r="L1" s="5"/>
      <c r="Q1" s="5"/>
      <c r="R1" s="162" t="s">
        <v>47</v>
      </c>
      <c r="S1" s="22"/>
    </row>
    <row r="2" spans="1:23" s="7" customFormat="1" ht="15" customHeight="1">
      <c r="A2" s="296"/>
      <c r="B2" s="164"/>
      <c r="C2" s="166"/>
      <c r="D2" s="166"/>
      <c r="E2" s="166"/>
      <c r="F2" s="22"/>
      <c r="G2" s="22"/>
      <c r="H2" s="22"/>
      <c r="I2" s="5"/>
      <c r="J2" s="5"/>
      <c r="K2" s="5"/>
      <c r="L2" s="5"/>
      <c r="Q2" s="314" t="s">
        <v>21</v>
      </c>
      <c r="R2" s="314"/>
      <c r="S2" s="314"/>
    </row>
    <row r="3" spans="1:23" s="7" customFormat="1" ht="48" customHeight="1" thickBot="1">
      <c r="A3" s="292"/>
      <c r="B3" s="9" t="s">
        <v>65</v>
      </c>
      <c r="C3" s="353" t="s">
        <v>183</v>
      </c>
      <c r="D3" s="353"/>
      <c r="E3" s="353"/>
      <c r="F3" s="353"/>
      <c r="G3" s="353"/>
      <c r="H3" s="353"/>
      <c r="I3" s="5"/>
      <c r="J3" s="5"/>
      <c r="K3" s="5"/>
      <c r="L3" s="5"/>
    </row>
    <row r="4" spans="1:23" s="7" customFormat="1" ht="12.75" customHeight="1">
      <c r="A4" s="296"/>
      <c r="B4" s="22"/>
      <c r="C4" s="22"/>
      <c r="D4" s="25"/>
      <c r="E4" s="25"/>
      <c r="F4" s="22"/>
      <c r="G4" s="22"/>
      <c r="H4" s="22"/>
      <c r="I4" s="26"/>
      <c r="J4" s="5"/>
      <c r="K4" s="5"/>
      <c r="L4" s="5"/>
      <c r="M4" s="5"/>
      <c r="Q4" s="5"/>
      <c r="R4" s="5"/>
      <c r="S4" s="5"/>
    </row>
    <row r="5" spans="1:23" s="14" customFormat="1" ht="15" customHeight="1">
      <c r="A5" s="337" t="s">
        <v>22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</row>
    <row r="6" spans="1:23" s="14" customFormat="1" ht="15" customHeight="1">
      <c r="A6" s="337" t="s">
        <v>212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</row>
    <row r="7" spans="1:23" s="14" customFormat="1" ht="9.75" customHeight="1">
      <c r="A7" s="291"/>
      <c r="B7" s="29"/>
      <c r="C7" s="29"/>
      <c r="D7" s="29"/>
      <c r="E7" s="29"/>
      <c r="F7" s="29"/>
      <c r="G7" s="29"/>
      <c r="H7" s="29"/>
      <c r="I7" s="6"/>
      <c r="J7" s="6"/>
      <c r="K7" s="6"/>
      <c r="L7" s="6"/>
      <c r="O7" s="6"/>
      <c r="P7" s="6"/>
      <c r="Q7" s="6"/>
      <c r="R7" s="6"/>
      <c r="S7" s="6"/>
    </row>
    <row r="8" spans="1:23" s="7" customFormat="1">
      <c r="A8" s="292"/>
      <c r="B8" s="30"/>
      <c r="C8" s="25"/>
      <c r="D8" s="25"/>
      <c r="E8" s="25"/>
      <c r="F8" s="25"/>
      <c r="G8" s="25"/>
      <c r="H8" s="25"/>
      <c r="I8" s="5"/>
    </row>
    <row r="9" spans="1:23" s="31" customFormat="1" ht="12.75" customHeight="1">
      <c r="A9" s="343" t="s">
        <v>0</v>
      </c>
      <c r="B9" s="343" t="s">
        <v>54</v>
      </c>
      <c r="C9" s="343" t="s">
        <v>55</v>
      </c>
      <c r="D9" s="345" t="s">
        <v>56</v>
      </c>
      <c r="E9" s="346"/>
      <c r="F9" s="346"/>
      <c r="G9" s="347"/>
      <c r="H9" s="345" t="s">
        <v>57</v>
      </c>
      <c r="I9" s="346"/>
      <c r="J9" s="346"/>
      <c r="K9" s="346"/>
      <c r="L9" s="346"/>
      <c r="M9" s="347"/>
      <c r="N9" s="345" t="s">
        <v>58</v>
      </c>
      <c r="O9" s="346"/>
      <c r="P9" s="346"/>
      <c r="Q9" s="346"/>
      <c r="R9" s="347"/>
      <c r="S9" s="343" t="s">
        <v>118</v>
      </c>
      <c r="T9" s="343" t="s">
        <v>119</v>
      </c>
      <c r="U9" s="343" t="s">
        <v>120</v>
      </c>
      <c r="V9" s="343" t="s">
        <v>121</v>
      </c>
      <c r="W9" s="343" t="s">
        <v>122</v>
      </c>
    </row>
    <row r="10" spans="1:23" s="32" customFormat="1" ht="51">
      <c r="A10" s="344"/>
      <c r="B10" s="344"/>
      <c r="C10" s="344"/>
      <c r="D10" s="53" t="s">
        <v>59</v>
      </c>
      <c r="E10" s="53" t="s">
        <v>60</v>
      </c>
      <c r="F10" s="53" t="s">
        <v>123</v>
      </c>
      <c r="G10" s="53" t="s">
        <v>214</v>
      </c>
      <c r="H10" s="53" t="s">
        <v>61</v>
      </c>
      <c r="I10" s="53" t="s">
        <v>132</v>
      </c>
      <c r="J10" s="53" t="s">
        <v>124</v>
      </c>
      <c r="K10" s="53" t="s">
        <v>131</v>
      </c>
      <c r="L10" s="53" t="s">
        <v>130</v>
      </c>
      <c r="M10" s="53" t="s">
        <v>217</v>
      </c>
      <c r="N10" s="53" t="s">
        <v>63</v>
      </c>
      <c r="O10" s="53" t="s">
        <v>64</v>
      </c>
      <c r="P10" s="53" t="s">
        <v>129</v>
      </c>
      <c r="Q10" s="54" t="s">
        <v>125</v>
      </c>
      <c r="R10" s="53" t="s">
        <v>215</v>
      </c>
      <c r="S10" s="344"/>
      <c r="T10" s="344"/>
      <c r="U10" s="344"/>
      <c r="V10" s="344"/>
      <c r="W10" s="344"/>
    </row>
    <row r="11" spans="1:23" s="31" customFormat="1">
      <c r="A11" s="293" t="s">
        <v>117</v>
      </c>
      <c r="B11" s="163" t="s">
        <v>2</v>
      </c>
      <c r="C11" s="163" t="s">
        <v>3</v>
      </c>
      <c r="D11" s="163" t="s">
        <v>4</v>
      </c>
      <c r="E11" s="163" t="s">
        <v>19</v>
      </c>
      <c r="F11" s="163" t="s">
        <v>18</v>
      </c>
      <c r="G11" s="163" t="s">
        <v>17</v>
      </c>
      <c r="H11" s="163" t="s">
        <v>16</v>
      </c>
      <c r="I11" s="163" t="s">
        <v>5</v>
      </c>
      <c r="J11" s="163" t="s">
        <v>6</v>
      </c>
      <c r="K11" s="163" t="s">
        <v>15</v>
      </c>
      <c r="L11" s="163" t="s">
        <v>20</v>
      </c>
      <c r="M11" s="163" t="s">
        <v>126</v>
      </c>
      <c r="N11" s="163" t="s">
        <v>0</v>
      </c>
      <c r="O11" s="163" t="s">
        <v>14</v>
      </c>
      <c r="P11" s="163" t="s">
        <v>127</v>
      </c>
      <c r="Q11" s="163" t="s">
        <v>7</v>
      </c>
      <c r="R11" s="163" t="s">
        <v>8</v>
      </c>
      <c r="S11" s="163" t="s">
        <v>9</v>
      </c>
      <c r="T11" s="163" t="s">
        <v>10</v>
      </c>
      <c r="U11" s="163" t="s">
        <v>11</v>
      </c>
      <c r="V11" s="163" t="s">
        <v>13</v>
      </c>
      <c r="W11" s="163" t="s">
        <v>128</v>
      </c>
    </row>
    <row r="12" spans="1:23" s="31" customFormat="1">
      <c r="A12" s="293">
        <v>1</v>
      </c>
      <c r="B12" s="1" t="s">
        <v>66</v>
      </c>
      <c r="C12" s="1">
        <v>1</v>
      </c>
      <c r="D12" s="1">
        <v>1</v>
      </c>
      <c r="E12" s="171">
        <v>2083.3000000000002</v>
      </c>
      <c r="F12" s="171">
        <f t="shared" ref="F12:F19" si="0">D12*E12</f>
        <v>2083.3000000000002</v>
      </c>
      <c r="G12" s="171">
        <f>F12*12/1000</f>
        <v>24.999600000000001</v>
      </c>
      <c r="H12" s="171">
        <v>2250</v>
      </c>
      <c r="I12" s="268">
        <f t="shared" ref="I12:I18" si="1">H12*C12</f>
        <v>2250</v>
      </c>
      <c r="J12" s="171">
        <f t="shared" ref="J12:J19" si="2">I12-D12*360</f>
        <v>1890</v>
      </c>
      <c r="K12" s="269">
        <f>+J12*5</f>
        <v>9450</v>
      </c>
      <c r="L12" s="171">
        <f>+K12</f>
        <v>9450</v>
      </c>
      <c r="M12" s="171">
        <f>L12*12/1000</f>
        <v>113.4</v>
      </c>
      <c r="N12" s="171">
        <v>8</v>
      </c>
      <c r="O12" s="171">
        <v>0</v>
      </c>
      <c r="P12" s="171">
        <f t="shared" ref="P12:P19" si="3">(N12+O12)*1000*C12</f>
        <v>8000</v>
      </c>
      <c r="Q12" s="171">
        <f>P12*20%</f>
        <v>1600</v>
      </c>
      <c r="R12" s="171">
        <f>(P12+Q12)*12/1000</f>
        <v>115.2</v>
      </c>
      <c r="S12" s="171">
        <f t="shared" ref="S12:S19" si="4">G12+M12+R12</f>
        <v>253.59960000000001</v>
      </c>
      <c r="T12" s="270"/>
      <c r="U12" s="270"/>
      <c r="V12" s="270"/>
      <c r="W12" s="270">
        <f>+(S12+T12+U12+V12)</f>
        <v>253.59960000000001</v>
      </c>
    </row>
    <row r="13" spans="1:23" s="31" customFormat="1">
      <c r="A13" s="293">
        <v>2</v>
      </c>
      <c r="B13" s="1" t="s">
        <v>67</v>
      </c>
      <c r="C13" s="1">
        <v>11</v>
      </c>
      <c r="D13" s="1">
        <v>11</v>
      </c>
      <c r="E13" s="171">
        <v>2083.3000000000002</v>
      </c>
      <c r="F13" s="171">
        <f t="shared" si="0"/>
        <v>22916.300000000003</v>
      </c>
      <c r="G13" s="171">
        <f t="shared" ref="G13:G19" si="5">F13*12/1000</f>
        <v>274.99560000000002</v>
      </c>
      <c r="H13" s="171">
        <v>1500</v>
      </c>
      <c r="I13" s="268">
        <f t="shared" si="1"/>
        <v>16500</v>
      </c>
      <c r="J13" s="171">
        <f t="shared" si="2"/>
        <v>12540</v>
      </c>
      <c r="K13" s="269">
        <f t="shared" ref="K13:K19" si="6">+J13*5</f>
        <v>62700</v>
      </c>
      <c r="L13" s="171">
        <f t="shared" ref="L13:L19" si="7">+K13</f>
        <v>62700</v>
      </c>
      <c r="M13" s="171">
        <f t="shared" ref="M13:M19" si="8">L13*12/1000</f>
        <v>752.4</v>
      </c>
      <c r="N13" s="171">
        <v>6</v>
      </c>
      <c r="O13" s="171">
        <v>0</v>
      </c>
      <c r="P13" s="171">
        <f t="shared" si="3"/>
        <v>66000</v>
      </c>
      <c r="Q13" s="171">
        <f t="shared" ref="Q13:Q20" si="9">P13*20%</f>
        <v>13200</v>
      </c>
      <c r="R13" s="171">
        <f t="shared" ref="R13:R19" si="10">(P13+Q13)*12/1000</f>
        <v>950.4</v>
      </c>
      <c r="S13" s="171">
        <f t="shared" si="4"/>
        <v>1977.7955999999999</v>
      </c>
      <c r="T13" s="270"/>
      <c r="U13" s="270"/>
      <c r="V13" s="270"/>
      <c r="W13" s="270">
        <f t="shared" ref="W13:W19" si="11">+(S13+T13+U13+V13)</f>
        <v>1977.7955999999999</v>
      </c>
    </row>
    <row r="14" spans="1:23" s="31" customFormat="1">
      <c r="A14" s="293">
        <v>3</v>
      </c>
      <c r="B14" s="1" t="s">
        <v>68</v>
      </c>
      <c r="C14" s="1">
        <v>1</v>
      </c>
      <c r="D14" s="1">
        <v>1</v>
      </c>
      <c r="E14" s="171">
        <v>2083.3000000000002</v>
      </c>
      <c r="F14" s="171">
        <f t="shared" si="0"/>
        <v>2083.3000000000002</v>
      </c>
      <c r="G14" s="171">
        <f t="shared" si="5"/>
        <v>24.999600000000001</v>
      </c>
      <c r="H14" s="171">
        <v>1750</v>
      </c>
      <c r="I14" s="268">
        <f t="shared" si="1"/>
        <v>1750</v>
      </c>
      <c r="J14" s="171">
        <f t="shared" si="2"/>
        <v>1390</v>
      </c>
      <c r="K14" s="269">
        <f t="shared" si="6"/>
        <v>6950</v>
      </c>
      <c r="L14" s="171">
        <f t="shared" si="7"/>
        <v>6950</v>
      </c>
      <c r="M14" s="171">
        <f t="shared" si="8"/>
        <v>83.4</v>
      </c>
      <c r="N14" s="171">
        <v>4</v>
      </c>
      <c r="O14" s="171">
        <v>0</v>
      </c>
      <c r="P14" s="171">
        <f t="shared" si="3"/>
        <v>4000</v>
      </c>
      <c r="Q14" s="171">
        <f t="shared" si="9"/>
        <v>800</v>
      </c>
      <c r="R14" s="171">
        <f t="shared" si="10"/>
        <v>57.6</v>
      </c>
      <c r="S14" s="171">
        <f t="shared" si="4"/>
        <v>165.99960000000002</v>
      </c>
      <c r="T14" s="270"/>
      <c r="U14" s="270"/>
      <c r="V14" s="270"/>
      <c r="W14" s="270">
        <f t="shared" si="11"/>
        <v>165.99960000000002</v>
      </c>
    </row>
    <row r="15" spans="1:23" s="31" customFormat="1">
      <c r="A15" s="293">
        <v>4</v>
      </c>
      <c r="B15" s="1" t="s">
        <v>69</v>
      </c>
      <c r="C15" s="1">
        <v>1</v>
      </c>
      <c r="D15" s="1">
        <v>1</v>
      </c>
      <c r="E15" s="171">
        <v>2083.3000000000002</v>
      </c>
      <c r="F15" s="171">
        <f t="shared" si="0"/>
        <v>2083.3000000000002</v>
      </c>
      <c r="G15" s="171">
        <f t="shared" si="5"/>
        <v>24.999600000000001</v>
      </c>
      <c r="H15" s="171">
        <v>1750</v>
      </c>
      <c r="I15" s="268">
        <f t="shared" si="1"/>
        <v>1750</v>
      </c>
      <c r="J15" s="171">
        <f t="shared" si="2"/>
        <v>1390</v>
      </c>
      <c r="K15" s="269">
        <f t="shared" si="6"/>
        <v>6950</v>
      </c>
      <c r="L15" s="171">
        <f t="shared" si="7"/>
        <v>6950</v>
      </c>
      <c r="M15" s="171">
        <f t="shared" si="8"/>
        <v>83.4</v>
      </c>
      <c r="N15" s="171">
        <v>5</v>
      </c>
      <c r="O15" s="171">
        <v>0</v>
      </c>
      <c r="P15" s="171">
        <f t="shared" si="3"/>
        <v>5000</v>
      </c>
      <c r="Q15" s="171">
        <f t="shared" si="9"/>
        <v>1000</v>
      </c>
      <c r="R15" s="171">
        <f t="shared" si="10"/>
        <v>72</v>
      </c>
      <c r="S15" s="171">
        <f t="shared" si="4"/>
        <v>180.39960000000002</v>
      </c>
      <c r="T15" s="270"/>
      <c r="U15" s="270"/>
      <c r="V15" s="270"/>
      <c r="W15" s="270">
        <f t="shared" si="11"/>
        <v>180.39960000000002</v>
      </c>
    </row>
    <row r="16" spans="1:23" s="31" customFormat="1">
      <c r="A16" s="293">
        <v>5</v>
      </c>
      <c r="B16" s="1" t="s">
        <v>70</v>
      </c>
      <c r="C16" s="1">
        <v>1</v>
      </c>
      <c r="D16" s="1">
        <v>1</v>
      </c>
      <c r="E16" s="171">
        <v>2083.3000000000002</v>
      </c>
      <c r="F16" s="171">
        <f t="shared" si="0"/>
        <v>2083.3000000000002</v>
      </c>
      <c r="G16" s="171">
        <f t="shared" si="5"/>
        <v>24.999600000000001</v>
      </c>
      <c r="H16" s="171">
        <v>1250</v>
      </c>
      <c r="I16" s="268">
        <f t="shared" si="1"/>
        <v>1250</v>
      </c>
      <c r="J16" s="171">
        <f t="shared" si="2"/>
        <v>890</v>
      </c>
      <c r="K16" s="269">
        <f t="shared" si="6"/>
        <v>4450</v>
      </c>
      <c r="L16" s="171">
        <f t="shared" si="7"/>
        <v>4450</v>
      </c>
      <c r="M16" s="171">
        <f t="shared" si="8"/>
        <v>53.4</v>
      </c>
      <c r="N16" s="171">
        <v>2</v>
      </c>
      <c r="O16" s="171">
        <v>0</v>
      </c>
      <c r="P16" s="171">
        <f t="shared" si="3"/>
        <v>2000</v>
      </c>
      <c r="Q16" s="171">
        <f t="shared" si="9"/>
        <v>400</v>
      </c>
      <c r="R16" s="171">
        <f t="shared" si="10"/>
        <v>28.8</v>
      </c>
      <c r="S16" s="171">
        <f t="shared" si="4"/>
        <v>107.19959999999999</v>
      </c>
      <c r="T16" s="270"/>
      <c r="U16" s="270"/>
      <c r="V16" s="270"/>
      <c r="W16" s="270">
        <f t="shared" si="11"/>
        <v>107.19959999999999</v>
      </c>
    </row>
    <row r="17" spans="1:23" s="31" customFormat="1" ht="27">
      <c r="A17" s="293">
        <v>6</v>
      </c>
      <c r="B17" s="33" t="s">
        <v>71</v>
      </c>
      <c r="C17" s="2">
        <v>3</v>
      </c>
      <c r="D17" s="1">
        <v>2</v>
      </c>
      <c r="E17" s="171">
        <v>2083.3000000000002</v>
      </c>
      <c r="F17" s="171">
        <f t="shared" si="0"/>
        <v>4166.6000000000004</v>
      </c>
      <c r="G17" s="171">
        <f t="shared" si="5"/>
        <v>49.999200000000002</v>
      </c>
      <c r="H17" s="171">
        <v>1750</v>
      </c>
      <c r="I17" s="268">
        <f t="shared" si="1"/>
        <v>5250</v>
      </c>
      <c r="J17" s="171">
        <f t="shared" si="2"/>
        <v>4530</v>
      </c>
      <c r="K17" s="269">
        <f t="shared" si="6"/>
        <v>22650</v>
      </c>
      <c r="L17" s="171">
        <f t="shared" si="7"/>
        <v>22650</v>
      </c>
      <c r="M17" s="171">
        <f t="shared" si="8"/>
        <v>271.8</v>
      </c>
      <c r="N17" s="171">
        <v>3</v>
      </c>
      <c r="O17" s="171">
        <v>0</v>
      </c>
      <c r="P17" s="171">
        <f t="shared" si="3"/>
        <v>9000</v>
      </c>
      <c r="Q17" s="171">
        <f t="shared" si="9"/>
        <v>1800</v>
      </c>
      <c r="R17" s="171">
        <f t="shared" si="10"/>
        <v>129.6</v>
      </c>
      <c r="S17" s="171">
        <f t="shared" si="4"/>
        <v>451.39920000000006</v>
      </c>
      <c r="T17" s="270"/>
      <c r="U17" s="270"/>
      <c r="V17" s="270"/>
      <c r="W17" s="270">
        <f t="shared" si="11"/>
        <v>451.39920000000006</v>
      </c>
    </row>
    <row r="18" spans="1:23" s="31" customFormat="1">
      <c r="A18" s="293">
        <v>7</v>
      </c>
      <c r="B18" s="33" t="s">
        <v>73</v>
      </c>
      <c r="C18" s="1">
        <v>37</v>
      </c>
      <c r="D18" s="1">
        <v>3</v>
      </c>
      <c r="E18" s="171">
        <v>2083.3000000000002</v>
      </c>
      <c r="F18" s="171">
        <f>D18*E18</f>
        <v>6249.9000000000005</v>
      </c>
      <c r="G18" s="171">
        <f t="shared" si="5"/>
        <v>74.998800000000003</v>
      </c>
      <c r="H18" s="171">
        <v>100</v>
      </c>
      <c r="I18" s="268">
        <f t="shared" si="1"/>
        <v>3700</v>
      </c>
      <c r="J18" s="171">
        <f t="shared" si="2"/>
        <v>2620</v>
      </c>
      <c r="K18" s="269">
        <f t="shared" si="6"/>
        <v>13100</v>
      </c>
      <c r="L18" s="171">
        <f t="shared" si="7"/>
        <v>13100</v>
      </c>
      <c r="M18" s="171">
        <f t="shared" si="8"/>
        <v>157.19999999999999</v>
      </c>
      <c r="N18" s="171">
        <v>0.5</v>
      </c>
      <c r="O18" s="171">
        <v>0</v>
      </c>
      <c r="P18" s="171">
        <f t="shared" si="3"/>
        <v>18500</v>
      </c>
      <c r="Q18" s="171">
        <f>P18*20%</f>
        <v>3700</v>
      </c>
      <c r="R18" s="171">
        <f t="shared" si="10"/>
        <v>266.39999999999998</v>
      </c>
      <c r="S18" s="171">
        <f t="shared" si="4"/>
        <v>498.59879999999998</v>
      </c>
      <c r="T18" s="271"/>
      <c r="U18" s="271"/>
      <c r="V18" s="271"/>
      <c r="W18" s="270">
        <f t="shared" si="11"/>
        <v>498.59879999999998</v>
      </c>
    </row>
    <row r="19" spans="1:23" s="31" customFormat="1" ht="14.25">
      <c r="A19" s="293">
        <v>8</v>
      </c>
      <c r="B19" s="1" t="s">
        <v>72</v>
      </c>
      <c r="C19" s="1">
        <v>31</v>
      </c>
      <c r="D19" s="1">
        <v>1</v>
      </c>
      <c r="E19" s="171">
        <v>2083.3000000000002</v>
      </c>
      <c r="F19" s="171">
        <f t="shared" si="0"/>
        <v>2083.3000000000002</v>
      </c>
      <c r="G19" s="171">
        <f t="shared" si="5"/>
        <v>24.999600000000001</v>
      </c>
      <c r="H19" s="171">
        <v>360</v>
      </c>
      <c r="I19" s="268">
        <f>H19*D19</f>
        <v>360</v>
      </c>
      <c r="J19" s="171">
        <f t="shared" si="2"/>
        <v>0</v>
      </c>
      <c r="K19" s="269">
        <f t="shared" si="6"/>
        <v>0</v>
      </c>
      <c r="L19" s="171">
        <f t="shared" si="7"/>
        <v>0</v>
      </c>
      <c r="M19" s="171">
        <f t="shared" si="8"/>
        <v>0</v>
      </c>
      <c r="N19" s="171">
        <v>0</v>
      </c>
      <c r="O19" s="171">
        <v>0</v>
      </c>
      <c r="P19" s="171">
        <f t="shared" si="3"/>
        <v>0</v>
      </c>
      <c r="Q19" s="171">
        <f t="shared" si="9"/>
        <v>0</v>
      </c>
      <c r="R19" s="171">
        <f t="shared" si="10"/>
        <v>0</v>
      </c>
      <c r="S19" s="171">
        <f t="shared" si="4"/>
        <v>24.999600000000001</v>
      </c>
      <c r="T19" s="280"/>
      <c r="U19" s="280"/>
      <c r="V19" s="280"/>
      <c r="W19" s="270">
        <f t="shared" si="11"/>
        <v>24.999600000000001</v>
      </c>
    </row>
    <row r="20" spans="1:23" s="31" customFormat="1" ht="16.5">
      <c r="A20" s="297"/>
      <c r="B20" s="35" t="s">
        <v>24</v>
      </c>
      <c r="C20" s="36">
        <f>SUM(C12:C19)</f>
        <v>86</v>
      </c>
      <c r="D20" s="36">
        <f>SUM(D12:D19)</f>
        <v>21</v>
      </c>
      <c r="E20" s="272"/>
      <c r="F20" s="272">
        <f>SUM(F12:F19)</f>
        <v>43749.3</v>
      </c>
      <c r="G20" s="272">
        <f>SUM(G12:G19)</f>
        <v>524.99160000000006</v>
      </c>
      <c r="H20" s="272"/>
      <c r="I20" s="272">
        <f>SUM(I12:I19)</f>
        <v>32810</v>
      </c>
      <c r="J20" s="272"/>
      <c r="K20" s="273"/>
      <c r="L20" s="272">
        <f>SUM(L12:L19)</f>
        <v>126250</v>
      </c>
      <c r="M20" s="272">
        <f>SUM(M12:M19)</f>
        <v>1515</v>
      </c>
      <c r="N20" s="272">
        <f>SUM(N12:N19)</f>
        <v>28.5</v>
      </c>
      <c r="O20" s="272"/>
      <c r="P20" s="272">
        <f>SUM(P12:P19)</f>
        <v>112500</v>
      </c>
      <c r="Q20" s="272">
        <f t="shared" si="9"/>
        <v>22500</v>
      </c>
      <c r="R20" s="272">
        <f>SUM(R12:R19)</f>
        <v>1619.9999999999995</v>
      </c>
      <c r="S20" s="274">
        <f>(R20+M20+G20)</f>
        <v>3659.9915999999994</v>
      </c>
      <c r="T20" s="272">
        <f>SUM(T11:T17)</f>
        <v>0</v>
      </c>
      <c r="U20" s="272">
        <f>SUM(U11:U17)</f>
        <v>0</v>
      </c>
      <c r="V20" s="272">
        <f>SUM(V11:V17)</f>
        <v>0</v>
      </c>
      <c r="W20" s="272">
        <f>SUM(W12:W19)</f>
        <v>3659.9916000000003</v>
      </c>
    </row>
    <row r="21" spans="1:23">
      <c r="G21" s="298">
        <f>G20</f>
        <v>524.99160000000006</v>
      </c>
      <c r="R21" s="122">
        <f>(R20+M20)</f>
        <v>3134.9999999999995</v>
      </c>
    </row>
    <row r="24" spans="1:23">
      <c r="B24" s="7" t="s">
        <v>133</v>
      </c>
      <c r="C24" s="7"/>
      <c r="D24" s="7"/>
      <c r="E24" s="7"/>
      <c r="F24" s="7"/>
      <c r="G24" s="7"/>
      <c r="H24" s="7"/>
    </row>
    <row r="25" spans="1:23" ht="14.25">
      <c r="B25" s="341" t="s">
        <v>134</v>
      </c>
      <c r="C25" s="342"/>
      <c r="D25" s="56" t="s">
        <v>135</v>
      </c>
      <c r="E25" s="1" t="s">
        <v>136</v>
      </c>
      <c r="F25" s="1" t="s">
        <v>137</v>
      </c>
      <c r="G25" s="1" t="s">
        <v>138</v>
      </c>
      <c r="H25" s="1" t="s">
        <v>139</v>
      </c>
    </row>
    <row r="26" spans="1:23" ht="48.75" customHeight="1">
      <c r="B26" s="354" t="s">
        <v>183</v>
      </c>
      <c r="C26" s="355"/>
      <c r="D26" s="56">
        <v>11</v>
      </c>
      <c r="E26" s="1">
        <v>43</v>
      </c>
      <c r="F26" s="1"/>
      <c r="G26" s="1">
        <v>32</v>
      </c>
      <c r="H26" s="34">
        <f>SUM(D26:G26)</f>
        <v>86</v>
      </c>
    </row>
    <row r="27" spans="1:23" ht="14.25">
      <c r="B27" s="59" t="s">
        <v>24</v>
      </c>
      <c r="C27" s="56"/>
      <c r="D27" s="60">
        <f>D26</f>
        <v>11</v>
      </c>
      <c r="E27" s="60">
        <f t="shared" ref="E27:H27" si="12">E26</f>
        <v>43</v>
      </c>
      <c r="F27" s="60">
        <f t="shared" si="12"/>
        <v>0</v>
      </c>
      <c r="G27" s="60">
        <f t="shared" si="12"/>
        <v>32</v>
      </c>
      <c r="H27" s="60">
        <f t="shared" si="12"/>
        <v>86</v>
      </c>
    </row>
    <row r="32" spans="1:23" ht="69" customHeight="1"/>
  </sheetData>
  <mergeCells count="18">
    <mergeCell ref="B1:F1"/>
    <mergeCell ref="Q2:S2"/>
    <mergeCell ref="C9:C10"/>
    <mergeCell ref="D9:G9"/>
    <mergeCell ref="H9:M9"/>
    <mergeCell ref="N9:R9"/>
    <mergeCell ref="S9:S10"/>
    <mergeCell ref="C3:H3"/>
    <mergeCell ref="B26:C26"/>
    <mergeCell ref="A9:A10"/>
    <mergeCell ref="B9:B10"/>
    <mergeCell ref="A6:W6"/>
    <mergeCell ref="A5:W5"/>
    <mergeCell ref="T9:T10"/>
    <mergeCell ref="U9:U10"/>
    <mergeCell ref="V9:V10"/>
    <mergeCell ref="W9:W10"/>
    <mergeCell ref="B25:C25"/>
  </mergeCells>
  <pageMargins left="0.43" right="0.17" top="0.66929133858267698" bottom="0.98425196850393704" header="0.511811023622047" footer="0.511811023622047"/>
  <pageSetup paperSize="9" scale="64"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W32"/>
  <sheetViews>
    <sheetView zoomScaleNormal="100" zoomScaleSheetLayoutView="100" workbookViewId="0">
      <selection activeCell="C20" sqref="C20"/>
    </sheetView>
  </sheetViews>
  <sheetFormatPr defaultColWidth="9.85546875" defaultRowHeight="13.5"/>
  <cols>
    <col min="1" max="1" width="2.28515625" style="294" bestFit="1" customWidth="1"/>
    <col min="2" max="2" width="33.5703125" style="120" customWidth="1"/>
    <col min="3" max="3" width="4.85546875" style="121" bestFit="1" customWidth="1"/>
    <col min="4" max="4" width="10.140625" style="121" bestFit="1" customWidth="1"/>
    <col min="5" max="5" width="9" style="121" bestFit="1" customWidth="1"/>
    <col min="6" max="6" width="9.28515625" style="121" bestFit="1" customWidth="1"/>
    <col min="7" max="7" width="11.42578125" style="121" bestFit="1" customWidth="1"/>
    <col min="8" max="8" width="9.140625" style="121" bestFit="1" customWidth="1"/>
    <col min="9" max="9" width="9.28515625" style="119" bestFit="1" customWidth="1"/>
    <col min="10" max="10" width="8.42578125" style="55" bestFit="1" customWidth="1"/>
    <col min="11" max="11" width="8.7109375" style="55" bestFit="1" customWidth="1"/>
    <col min="12" max="12" width="10.140625" style="55" bestFit="1" customWidth="1"/>
    <col min="13" max="13" width="11.7109375" style="55" bestFit="1" customWidth="1"/>
    <col min="14" max="15" width="4.85546875" style="55" bestFit="1" customWidth="1"/>
    <col min="16" max="16" width="9.42578125" style="55" bestFit="1" customWidth="1"/>
    <col min="17" max="17" width="7.85546875" style="55" bestFit="1" customWidth="1"/>
    <col min="18" max="18" width="12.28515625" style="55" bestFit="1" customWidth="1"/>
    <col min="19" max="19" width="9" style="55" bestFit="1" customWidth="1"/>
    <col min="20" max="20" width="9.140625" style="55" customWidth="1"/>
    <col min="21" max="21" width="8.85546875" style="55" bestFit="1" customWidth="1"/>
    <col min="22" max="22" width="6.85546875" style="55" bestFit="1" customWidth="1"/>
    <col min="23" max="23" width="9" style="55" bestFit="1" customWidth="1"/>
    <col min="24" max="246" width="9.140625" style="55" customWidth="1"/>
    <col min="247" max="247" width="4.28515625" style="55" customWidth="1"/>
    <col min="248" max="248" width="35.42578125" style="55" customWidth="1"/>
    <col min="249" max="249" width="5" style="55" customWidth="1"/>
    <col min="250" max="250" width="4.5703125" style="55" customWidth="1"/>
    <col min="251" max="16384" width="9.85546875" style="55"/>
  </cols>
  <sheetData>
    <row r="1" spans="1:23" s="7" customFormat="1" ht="23.25" customHeight="1">
      <c r="A1" s="296"/>
      <c r="B1" s="332"/>
      <c r="C1" s="333"/>
      <c r="D1" s="333"/>
      <c r="E1" s="333"/>
      <c r="F1" s="333"/>
      <c r="G1" s="22"/>
      <c r="H1" s="22"/>
      <c r="I1" s="5"/>
      <c r="J1" s="5"/>
      <c r="K1" s="5"/>
      <c r="L1" s="5"/>
      <c r="Q1" s="5"/>
      <c r="R1" s="162" t="s">
        <v>47</v>
      </c>
      <c r="S1" s="22"/>
    </row>
    <row r="2" spans="1:23" s="7" customFormat="1" ht="15" customHeight="1">
      <c r="A2" s="296"/>
      <c r="B2" s="164"/>
      <c r="C2" s="166"/>
      <c r="D2" s="166"/>
      <c r="E2" s="166"/>
      <c r="F2" s="22"/>
      <c r="G2" s="22"/>
      <c r="H2" s="22"/>
      <c r="I2" s="5"/>
      <c r="J2" s="5"/>
      <c r="K2" s="5"/>
      <c r="L2" s="5"/>
      <c r="Q2" s="314" t="s">
        <v>21</v>
      </c>
      <c r="R2" s="314"/>
      <c r="S2" s="314"/>
    </row>
    <row r="3" spans="1:23" s="7" customFormat="1" ht="35.25" customHeight="1" thickBot="1">
      <c r="A3" s="292"/>
      <c r="B3" s="9" t="s">
        <v>65</v>
      </c>
      <c r="C3" s="353" t="s">
        <v>180</v>
      </c>
      <c r="D3" s="353"/>
      <c r="E3" s="353"/>
      <c r="F3" s="353"/>
      <c r="G3" s="353"/>
      <c r="H3" s="353"/>
      <c r="I3" s="5"/>
      <c r="J3" s="5"/>
      <c r="K3" s="5"/>
      <c r="L3" s="5"/>
    </row>
    <row r="4" spans="1:23" s="7" customFormat="1">
      <c r="A4" s="296"/>
      <c r="B4" s="22"/>
      <c r="C4" s="22"/>
      <c r="D4" s="25"/>
      <c r="E4" s="25"/>
      <c r="F4" s="22"/>
      <c r="G4" s="22"/>
      <c r="H4" s="22"/>
      <c r="I4" s="26"/>
      <c r="J4" s="5"/>
      <c r="K4" s="5"/>
      <c r="L4" s="5"/>
      <c r="M4" s="5"/>
    </row>
    <row r="5" spans="1:23" s="14" customFormat="1" ht="15" customHeight="1">
      <c r="A5" s="337" t="s">
        <v>22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</row>
    <row r="6" spans="1:23" s="14" customFormat="1" ht="15" customHeight="1">
      <c r="A6" s="337" t="s">
        <v>212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</row>
    <row r="7" spans="1:23" s="14" customFormat="1" ht="12.75">
      <c r="A7" s="291"/>
      <c r="B7" s="29"/>
      <c r="C7" s="29"/>
      <c r="D7" s="29"/>
      <c r="E7" s="29"/>
      <c r="F7" s="29"/>
      <c r="G7" s="29"/>
      <c r="H7" s="29"/>
      <c r="I7" s="6"/>
      <c r="J7" s="6"/>
      <c r="K7" s="6"/>
      <c r="L7" s="6"/>
      <c r="O7" s="6"/>
      <c r="P7" s="6"/>
    </row>
    <row r="8" spans="1:23" s="7" customFormat="1">
      <c r="A8" s="292"/>
      <c r="B8" s="30"/>
      <c r="C8" s="25"/>
      <c r="D8" s="25"/>
      <c r="E8" s="25"/>
      <c r="F8" s="25"/>
      <c r="G8" s="25"/>
      <c r="H8" s="25"/>
      <c r="I8" s="5"/>
    </row>
    <row r="9" spans="1:23" s="31" customFormat="1" ht="12.75" customHeight="1">
      <c r="A9" s="343" t="s">
        <v>0</v>
      </c>
      <c r="B9" s="343" t="s">
        <v>54</v>
      </c>
      <c r="C9" s="343" t="s">
        <v>55</v>
      </c>
      <c r="D9" s="345" t="s">
        <v>56</v>
      </c>
      <c r="E9" s="346"/>
      <c r="F9" s="346"/>
      <c r="G9" s="347"/>
      <c r="H9" s="345" t="s">
        <v>57</v>
      </c>
      <c r="I9" s="346"/>
      <c r="J9" s="346"/>
      <c r="K9" s="346"/>
      <c r="L9" s="346"/>
      <c r="M9" s="347"/>
      <c r="N9" s="345" t="s">
        <v>58</v>
      </c>
      <c r="O9" s="346"/>
      <c r="P9" s="346"/>
      <c r="Q9" s="346"/>
      <c r="R9" s="347"/>
      <c r="S9" s="343" t="s">
        <v>118</v>
      </c>
      <c r="T9" s="343" t="s">
        <v>119</v>
      </c>
      <c r="U9" s="343" t="s">
        <v>120</v>
      </c>
      <c r="V9" s="343" t="s">
        <v>121</v>
      </c>
      <c r="W9" s="343" t="s">
        <v>122</v>
      </c>
    </row>
    <row r="10" spans="1:23" s="32" customFormat="1" ht="76.5">
      <c r="A10" s="344"/>
      <c r="B10" s="344"/>
      <c r="C10" s="344"/>
      <c r="D10" s="53" t="s">
        <v>59</v>
      </c>
      <c r="E10" s="53" t="s">
        <v>60</v>
      </c>
      <c r="F10" s="53" t="s">
        <v>123</v>
      </c>
      <c r="G10" s="53" t="s">
        <v>214</v>
      </c>
      <c r="H10" s="53" t="s">
        <v>61</v>
      </c>
      <c r="I10" s="53" t="s">
        <v>132</v>
      </c>
      <c r="J10" s="53" t="s">
        <v>124</v>
      </c>
      <c r="K10" s="53" t="s">
        <v>131</v>
      </c>
      <c r="L10" s="53" t="s">
        <v>130</v>
      </c>
      <c r="M10" s="53" t="s">
        <v>217</v>
      </c>
      <c r="N10" s="53" t="s">
        <v>63</v>
      </c>
      <c r="O10" s="53" t="s">
        <v>64</v>
      </c>
      <c r="P10" s="53" t="s">
        <v>129</v>
      </c>
      <c r="Q10" s="54" t="s">
        <v>125</v>
      </c>
      <c r="R10" s="53" t="s">
        <v>215</v>
      </c>
      <c r="S10" s="344"/>
      <c r="T10" s="344"/>
      <c r="U10" s="344"/>
      <c r="V10" s="344"/>
      <c r="W10" s="344"/>
    </row>
    <row r="11" spans="1:23" s="31" customFormat="1">
      <c r="A11" s="293" t="s">
        <v>117</v>
      </c>
      <c r="B11" s="163" t="s">
        <v>2</v>
      </c>
      <c r="C11" s="163" t="s">
        <v>3</v>
      </c>
      <c r="D11" s="163" t="s">
        <v>4</v>
      </c>
      <c r="E11" s="163" t="s">
        <v>19</v>
      </c>
      <c r="F11" s="163" t="s">
        <v>18</v>
      </c>
      <c r="G11" s="163" t="s">
        <v>17</v>
      </c>
      <c r="H11" s="163" t="s">
        <v>16</v>
      </c>
      <c r="I11" s="163" t="s">
        <v>5</v>
      </c>
      <c r="J11" s="163" t="s">
        <v>6</v>
      </c>
      <c r="K11" s="163" t="s">
        <v>15</v>
      </c>
      <c r="L11" s="163" t="s">
        <v>20</v>
      </c>
      <c r="M11" s="163" t="s">
        <v>126</v>
      </c>
      <c r="N11" s="163" t="s">
        <v>0</v>
      </c>
      <c r="O11" s="163" t="s">
        <v>14</v>
      </c>
      <c r="P11" s="163" t="s">
        <v>127</v>
      </c>
      <c r="Q11" s="163" t="s">
        <v>7</v>
      </c>
      <c r="R11" s="163" t="s">
        <v>8</v>
      </c>
      <c r="S11" s="163" t="s">
        <v>9</v>
      </c>
      <c r="T11" s="163" t="s">
        <v>10</v>
      </c>
      <c r="U11" s="163" t="s">
        <v>11</v>
      </c>
      <c r="V11" s="163" t="s">
        <v>13</v>
      </c>
      <c r="W11" s="163" t="s">
        <v>128</v>
      </c>
    </row>
    <row r="12" spans="1:23" s="31" customFormat="1">
      <c r="A12" s="293">
        <v>1</v>
      </c>
      <c r="B12" s="1" t="s">
        <v>66</v>
      </c>
      <c r="C12" s="80">
        <v>1</v>
      </c>
      <c r="D12" s="80">
        <v>1</v>
      </c>
      <c r="E12" s="171">
        <v>2083.3000000000002</v>
      </c>
      <c r="F12" s="171">
        <f t="shared" ref="F12:F18" si="0">D12*E12</f>
        <v>2083.3000000000002</v>
      </c>
      <c r="G12" s="171">
        <f>F12*12/1000</f>
        <v>24.999600000000001</v>
      </c>
      <c r="H12" s="271">
        <v>2250</v>
      </c>
      <c r="I12" s="171">
        <f t="shared" ref="I12:I18" si="1">H12*C12</f>
        <v>2250</v>
      </c>
      <c r="J12" s="171">
        <f>I12-D12*360</f>
        <v>1890</v>
      </c>
      <c r="K12" s="269">
        <f>+J12*5</f>
        <v>9450</v>
      </c>
      <c r="L12" s="171">
        <f>+K12</f>
        <v>9450</v>
      </c>
      <c r="M12" s="171">
        <f>L12*12/1000</f>
        <v>113.4</v>
      </c>
      <c r="N12" s="271">
        <v>8</v>
      </c>
      <c r="O12" s="171">
        <v>0</v>
      </c>
      <c r="P12" s="171">
        <f t="shared" ref="P12:P18" si="2">(N12+O12)*1000*C12</f>
        <v>8000</v>
      </c>
      <c r="Q12" s="171">
        <f>P12*20%</f>
        <v>1600</v>
      </c>
      <c r="R12" s="171">
        <f>(P12+Q12)*12/1000</f>
        <v>115.2</v>
      </c>
      <c r="S12" s="171">
        <f t="shared" ref="S12:S20" si="3">G12+M12+R12</f>
        <v>253.59960000000001</v>
      </c>
      <c r="T12" s="270"/>
      <c r="U12" s="270"/>
      <c r="V12" s="270"/>
      <c r="W12" s="270">
        <f>+(S12+T12+U12+V12)</f>
        <v>253.59960000000001</v>
      </c>
    </row>
    <row r="13" spans="1:23" s="31" customFormat="1">
      <c r="A13" s="293">
        <v>2</v>
      </c>
      <c r="B13" s="1" t="s">
        <v>67</v>
      </c>
      <c r="C13" s="80">
        <v>1</v>
      </c>
      <c r="D13" s="80">
        <v>1</v>
      </c>
      <c r="E13" s="171">
        <v>2083.3000000000002</v>
      </c>
      <c r="F13" s="171">
        <f t="shared" si="0"/>
        <v>2083.3000000000002</v>
      </c>
      <c r="G13" s="171">
        <f t="shared" ref="G13:G20" si="4">F13*12/1000</f>
        <v>24.999600000000001</v>
      </c>
      <c r="H13" s="271">
        <f>1500*C13</f>
        <v>1500</v>
      </c>
      <c r="I13" s="171">
        <f t="shared" si="1"/>
        <v>1500</v>
      </c>
      <c r="J13" s="171">
        <f t="shared" ref="J13:J18" si="5">I13-D13*360</f>
        <v>1140</v>
      </c>
      <c r="K13" s="269">
        <f t="shared" ref="K13:K20" si="6">+J13*5</f>
        <v>5700</v>
      </c>
      <c r="L13" s="171">
        <f t="shared" ref="L13:L20" si="7">+K13</f>
        <v>5700</v>
      </c>
      <c r="M13" s="171">
        <f t="shared" ref="M13:M20" si="8">L13*12/1000</f>
        <v>68.400000000000006</v>
      </c>
      <c r="N13" s="271">
        <v>6</v>
      </c>
      <c r="O13" s="171">
        <v>0</v>
      </c>
      <c r="P13" s="171">
        <f t="shared" si="2"/>
        <v>6000</v>
      </c>
      <c r="Q13" s="171">
        <f t="shared" ref="Q13:Q20" si="9">P13*20%</f>
        <v>1200</v>
      </c>
      <c r="R13" s="171">
        <f t="shared" ref="R13:R20" si="10">(P13+Q13)*12/1000</f>
        <v>86.4</v>
      </c>
      <c r="S13" s="171">
        <f t="shared" si="3"/>
        <v>179.7996</v>
      </c>
      <c r="T13" s="270"/>
      <c r="U13" s="270"/>
      <c r="V13" s="270"/>
      <c r="W13" s="270">
        <f t="shared" ref="W13:W20" si="11">+(S13+T13+U13+V13)</f>
        <v>179.7996</v>
      </c>
    </row>
    <row r="14" spans="1:23" s="31" customFormat="1">
      <c r="A14" s="293">
        <v>3</v>
      </c>
      <c r="B14" s="1" t="s">
        <v>88</v>
      </c>
      <c r="C14" s="80">
        <v>8</v>
      </c>
      <c r="D14" s="80">
        <v>8</v>
      </c>
      <c r="E14" s="171">
        <v>2083.3000000000002</v>
      </c>
      <c r="F14" s="171">
        <f t="shared" si="0"/>
        <v>16666.400000000001</v>
      </c>
      <c r="G14" s="171">
        <f t="shared" si="4"/>
        <v>199.99680000000001</v>
      </c>
      <c r="H14" s="271">
        <v>1500</v>
      </c>
      <c r="I14" s="171">
        <f t="shared" si="1"/>
        <v>12000</v>
      </c>
      <c r="J14" s="171">
        <f t="shared" si="5"/>
        <v>9120</v>
      </c>
      <c r="K14" s="269">
        <f t="shared" si="6"/>
        <v>45600</v>
      </c>
      <c r="L14" s="171">
        <f t="shared" si="7"/>
        <v>45600</v>
      </c>
      <c r="M14" s="171">
        <f t="shared" si="8"/>
        <v>547.20000000000005</v>
      </c>
      <c r="N14" s="271">
        <v>6</v>
      </c>
      <c r="O14" s="171">
        <v>0</v>
      </c>
      <c r="P14" s="171">
        <f t="shared" si="2"/>
        <v>48000</v>
      </c>
      <c r="Q14" s="171">
        <f>P14*20%</f>
        <v>9600</v>
      </c>
      <c r="R14" s="171">
        <f t="shared" si="10"/>
        <v>691.2</v>
      </c>
      <c r="S14" s="171">
        <f t="shared" si="3"/>
        <v>1438.3968</v>
      </c>
      <c r="T14" s="270"/>
      <c r="U14" s="270"/>
      <c r="V14" s="270"/>
      <c r="W14" s="270">
        <f t="shared" si="11"/>
        <v>1438.3968</v>
      </c>
    </row>
    <row r="15" spans="1:23" s="31" customFormat="1">
      <c r="A15" s="293">
        <v>4</v>
      </c>
      <c r="B15" s="1" t="s">
        <v>68</v>
      </c>
      <c r="C15" s="80">
        <v>1</v>
      </c>
      <c r="D15" s="80">
        <v>1</v>
      </c>
      <c r="E15" s="171">
        <v>2083.3000000000002</v>
      </c>
      <c r="F15" s="171">
        <f t="shared" si="0"/>
        <v>2083.3000000000002</v>
      </c>
      <c r="G15" s="171">
        <f t="shared" si="4"/>
        <v>24.999600000000001</v>
      </c>
      <c r="H15" s="271">
        <v>1750</v>
      </c>
      <c r="I15" s="171">
        <f t="shared" si="1"/>
        <v>1750</v>
      </c>
      <c r="J15" s="171">
        <f t="shared" si="5"/>
        <v>1390</v>
      </c>
      <c r="K15" s="269">
        <f t="shared" si="6"/>
        <v>6950</v>
      </c>
      <c r="L15" s="171">
        <f t="shared" si="7"/>
        <v>6950</v>
      </c>
      <c r="M15" s="171">
        <f t="shared" si="8"/>
        <v>83.4</v>
      </c>
      <c r="N15" s="271">
        <v>4</v>
      </c>
      <c r="O15" s="171">
        <v>0</v>
      </c>
      <c r="P15" s="171">
        <f t="shared" si="2"/>
        <v>4000</v>
      </c>
      <c r="Q15" s="171">
        <f>P15*20%</f>
        <v>800</v>
      </c>
      <c r="R15" s="171">
        <f t="shared" si="10"/>
        <v>57.6</v>
      </c>
      <c r="S15" s="171">
        <f t="shared" si="3"/>
        <v>165.99960000000002</v>
      </c>
      <c r="T15" s="270"/>
      <c r="U15" s="270"/>
      <c r="V15" s="270"/>
      <c r="W15" s="270">
        <f t="shared" si="11"/>
        <v>165.99960000000002</v>
      </c>
    </row>
    <row r="16" spans="1:23" s="31" customFormat="1">
      <c r="A16" s="293">
        <v>5</v>
      </c>
      <c r="B16" s="1" t="s">
        <v>69</v>
      </c>
      <c r="C16" s="80">
        <v>1</v>
      </c>
      <c r="D16" s="80">
        <v>1</v>
      </c>
      <c r="E16" s="171">
        <v>2083.3000000000002</v>
      </c>
      <c r="F16" s="171">
        <f t="shared" si="0"/>
        <v>2083.3000000000002</v>
      </c>
      <c r="G16" s="171">
        <f t="shared" si="4"/>
        <v>24.999600000000001</v>
      </c>
      <c r="H16" s="271">
        <v>1750</v>
      </c>
      <c r="I16" s="171">
        <f t="shared" si="1"/>
        <v>1750</v>
      </c>
      <c r="J16" s="171">
        <f t="shared" si="5"/>
        <v>1390</v>
      </c>
      <c r="K16" s="269">
        <f t="shared" si="6"/>
        <v>6950</v>
      </c>
      <c r="L16" s="171">
        <f t="shared" si="7"/>
        <v>6950</v>
      </c>
      <c r="M16" s="171">
        <f t="shared" si="8"/>
        <v>83.4</v>
      </c>
      <c r="N16" s="271">
        <v>5</v>
      </c>
      <c r="O16" s="171">
        <v>0</v>
      </c>
      <c r="P16" s="171">
        <f t="shared" si="2"/>
        <v>5000</v>
      </c>
      <c r="Q16" s="171">
        <f t="shared" si="9"/>
        <v>1000</v>
      </c>
      <c r="R16" s="171">
        <f t="shared" si="10"/>
        <v>72</v>
      </c>
      <c r="S16" s="171">
        <f t="shared" si="3"/>
        <v>180.39960000000002</v>
      </c>
      <c r="T16" s="270"/>
      <c r="U16" s="270"/>
      <c r="V16" s="270"/>
      <c r="W16" s="270">
        <f t="shared" si="11"/>
        <v>180.39960000000002</v>
      </c>
    </row>
    <row r="17" spans="1:23" s="31" customFormat="1">
      <c r="A17" s="293">
        <v>6</v>
      </c>
      <c r="B17" s="1" t="s">
        <v>70</v>
      </c>
      <c r="C17" s="80">
        <v>1</v>
      </c>
      <c r="D17" s="80">
        <v>1</v>
      </c>
      <c r="E17" s="171">
        <v>2083.3000000000002</v>
      </c>
      <c r="F17" s="171">
        <f t="shared" si="0"/>
        <v>2083.3000000000002</v>
      </c>
      <c r="G17" s="171">
        <f t="shared" si="4"/>
        <v>24.999600000000001</v>
      </c>
      <c r="H17" s="271">
        <v>1250</v>
      </c>
      <c r="I17" s="171">
        <f t="shared" si="1"/>
        <v>1250</v>
      </c>
      <c r="J17" s="171">
        <f t="shared" si="5"/>
        <v>890</v>
      </c>
      <c r="K17" s="269">
        <f t="shared" si="6"/>
        <v>4450</v>
      </c>
      <c r="L17" s="171">
        <f t="shared" si="7"/>
        <v>4450</v>
      </c>
      <c r="M17" s="171">
        <f t="shared" si="8"/>
        <v>53.4</v>
      </c>
      <c r="N17" s="271">
        <v>2</v>
      </c>
      <c r="O17" s="171">
        <v>0</v>
      </c>
      <c r="P17" s="171">
        <f t="shared" si="2"/>
        <v>2000</v>
      </c>
      <c r="Q17" s="171">
        <f t="shared" si="9"/>
        <v>400</v>
      </c>
      <c r="R17" s="171">
        <f t="shared" si="10"/>
        <v>28.8</v>
      </c>
      <c r="S17" s="171">
        <f t="shared" si="3"/>
        <v>107.19959999999999</v>
      </c>
      <c r="T17" s="270"/>
      <c r="U17" s="270"/>
      <c r="V17" s="270"/>
      <c r="W17" s="270">
        <f t="shared" si="11"/>
        <v>107.19959999999999</v>
      </c>
    </row>
    <row r="18" spans="1:23" s="31" customFormat="1" ht="27">
      <c r="A18" s="293">
        <v>7</v>
      </c>
      <c r="B18" s="33" t="s">
        <v>71</v>
      </c>
      <c r="C18" s="80">
        <v>4</v>
      </c>
      <c r="D18" s="80">
        <v>4</v>
      </c>
      <c r="E18" s="171">
        <v>2083.3000000000002</v>
      </c>
      <c r="F18" s="171">
        <f t="shared" si="0"/>
        <v>8333.2000000000007</v>
      </c>
      <c r="G18" s="171">
        <f t="shared" si="4"/>
        <v>99.998400000000004</v>
      </c>
      <c r="H18" s="271">
        <v>1750</v>
      </c>
      <c r="I18" s="171">
        <f t="shared" si="1"/>
        <v>7000</v>
      </c>
      <c r="J18" s="171">
        <f t="shared" si="5"/>
        <v>5560</v>
      </c>
      <c r="K18" s="269">
        <f t="shared" si="6"/>
        <v>27800</v>
      </c>
      <c r="L18" s="171">
        <f t="shared" si="7"/>
        <v>27800</v>
      </c>
      <c r="M18" s="171">
        <f t="shared" si="8"/>
        <v>333.6</v>
      </c>
      <c r="N18" s="271">
        <v>3</v>
      </c>
      <c r="O18" s="171">
        <v>0</v>
      </c>
      <c r="P18" s="171">
        <f t="shared" si="2"/>
        <v>12000</v>
      </c>
      <c r="Q18" s="171">
        <f t="shared" si="9"/>
        <v>2400</v>
      </c>
      <c r="R18" s="171">
        <f t="shared" si="10"/>
        <v>172.8</v>
      </c>
      <c r="S18" s="171">
        <f t="shared" si="3"/>
        <v>606.39840000000004</v>
      </c>
      <c r="T18" s="271"/>
      <c r="U18" s="271"/>
      <c r="V18" s="271"/>
      <c r="W18" s="270">
        <f t="shared" si="11"/>
        <v>606.39840000000004</v>
      </c>
    </row>
    <row r="19" spans="1:23" s="31" customFormat="1" ht="14.25">
      <c r="A19" s="293">
        <v>8</v>
      </c>
      <c r="B19" s="33" t="s">
        <v>73</v>
      </c>
      <c r="C19" s="80">
        <v>29</v>
      </c>
      <c r="D19" s="80">
        <v>0</v>
      </c>
      <c r="E19" s="171">
        <v>2083.3000000000002</v>
      </c>
      <c r="F19" s="171">
        <f>D19*E19</f>
        <v>0</v>
      </c>
      <c r="G19" s="171">
        <f t="shared" si="4"/>
        <v>0</v>
      </c>
      <c r="H19" s="271">
        <v>100</v>
      </c>
      <c r="I19" s="171">
        <f>H19*C19</f>
        <v>2900</v>
      </c>
      <c r="J19" s="171">
        <v>0</v>
      </c>
      <c r="K19" s="269">
        <v>0</v>
      </c>
      <c r="L19" s="171">
        <f t="shared" si="7"/>
        <v>0</v>
      </c>
      <c r="M19" s="171">
        <f t="shared" si="8"/>
        <v>0</v>
      </c>
      <c r="N19" s="171">
        <v>0.5</v>
      </c>
      <c r="O19" s="171">
        <v>0</v>
      </c>
      <c r="P19" s="171">
        <v>0</v>
      </c>
      <c r="Q19" s="171">
        <f>P19*20%</f>
        <v>0</v>
      </c>
      <c r="R19" s="171">
        <f t="shared" si="10"/>
        <v>0</v>
      </c>
      <c r="S19" s="171">
        <f t="shared" si="3"/>
        <v>0</v>
      </c>
      <c r="T19" s="280"/>
      <c r="U19" s="280"/>
      <c r="V19" s="280"/>
      <c r="W19" s="270">
        <f t="shared" si="11"/>
        <v>0</v>
      </c>
    </row>
    <row r="20" spans="1:23" s="31" customFormat="1" ht="14.25">
      <c r="A20" s="293">
        <v>9</v>
      </c>
      <c r="B20" s="1" t="s">
        <v>72</v>
      </c>
      <c r="C20" s="80">
        <v>59</v>
      </c>
      <c r="D20" s="80">
        <v>5</v>
      </c>
      <c r="E20" s="171">
        <v>2083.3000000000002</v>
      </c>
      <c r="F20" s="171">
        <f>D20*E20</f>
        <v>10416.5</v>
      </c>
      <c r="G20" s="171">
        <f t="shared" si="4"/>
        <v>124.998</v>
      </c>
      <c r="H20" s="271">
        <v>360</v>
      </c>
      <c r="I20" s="171">
        <f>+H20*D20</f>
        <v>1800</v>
      </c>
      <c r="J20" s="171">
        <f>I20-D20*360</f>
        <v>0</v>
      </c>
      <c r="K20" s="269">
        <f t="shared" si="6"/>
        <v>0</v>
      </c>
      <c r="L20" s="171">
        <f t="shared" si="7"/>
        <v>0</v>
      </c>
      <c r="M20" s="171">
        <f t="shared" si="8"/>
        <v>0</v>
      </c>
      <c r="N20" s="171">
        <v>0</v>
      </c>
      <c r="O20" s="171">
        <v>0</v>
      </c>
      <c r="P20" s="171">
        <f>(N20+O20)*1000*C20</f>
        <v>0</v>
      </c>
      <c r="Q20" s="171">
        <f t="shared" si="9"/>
        <v>0</v>
      </c>
      <c r="R20" s="171">
        <f t="shared" si="10"/>
        <v>0</v>
      </c>
      <c r="S20" s="171">
        <f t="shared" si="3"/>
        <v>124.998</v>
      </c>
      <c r="T20" s="272"/>
      <c r="U20" s="272"/>
      <c r="V20" s="272"/>
      <c r="W20" s="270">
        <f t="shared" si="11"/>
        <v>124.998</v>
      </c>
    </row>
    <row r="21" spans="1:23" s="31" customFormat="1" ht="16.5">
      <c r="A21" s="297"/>
      <c r="B21" s="35" t="s">
        <v>24</v>
      </c>
      <c r="C21" s="36">
        <f>SUM(C12:C20)</f>
        <v>105</v>
      </c>
      <c r="D21" s="36">
        <f>SUM(D12:D20)</f>
        <v>22</v>
      </c>
      <c r="E21" s="272"/>
      <c r="F21" s="272">
        <f>SUM(F12:F20)</f>
        <v>45832.6</v>
      </c>
      <c r="G21" s="272">
        <f>SUM(G12:G20)</f>
        <v>549.99120000000005</v>
      </c>
      <c r="H21" s="272"/>
      <c r="I21" s="272">
        <f>SUM(I12:I20)</f>
        <v>32200</v>
      </c>
      <c r="J21" s="272"/>
      <c r="K21" s="273"/>
      <c r="L21" s="272">
        <f>SUM(L12:L20)</f>
        <v>106900</v>
      </c>
      <c r="M21" s="272">
        <f>SUM(M12:M20)</f>
        <v>1282.8</v>
      </c>
      <c r="N21" s="272"/>
      <c r="O21" s="272"/>
      <c r="P21" s="272"/>
      <c r="Q21" s="272"/>
      <c r="R21" s="272">
        <f>SUM(R12:R20)</f>
        <v>1224</v>
      </c>
      <c r="S21" s="274">
        <f>(R21+M21+G21)</f>
        <v>3056.7912000000001</v>
      </c>
      <c r="T21" s="272">
        <f>SUM(T12:T18)</f>
        <v>0</v>
      </c>
      <c r="U21" s="272">
        <f>SUM(U12:U18)</f>
        <v>0</v>
      </c>
      <c r="V21" s="272">
        <f>SUM(V12:V18)</f>
        <v>0</v>
      </c>
      <c r="W21" s="272">
        <f>SUM(W12:W20)</f>
        <v>3056.7912000000001</v>
      </c>
    </row>
    <row r="22" spans="1:23">
      <c r="G22" s="298">
        <f>G21</f>
        <v>549.99120000000005</v>
      </c>
      <c r="R22" s="122">
        <f>(R21+M21)</f>
        <v>2506.8000000000002</v>
      </c>
    </row>
    <row r="25" spans="1:23">
      <c r="B25" s="7" t="s">
        <v>133</v>
      </c>
      <c r="C25" s="7"/>
      <c r="D25" s="7"/>
      <c r="E25" s="7"/>
      <c r="F25" s="7"/>
      <c r="G25" s="7"/>
      <c r="H25" s="7"/>
    </row>
    <row r="26" spans="1:23" ht="14.25">
      <c r="B26" s="341" t="s">
        <v>134</v>
      </c>
      <c r="C26" s="342"/>
      <c r="D26" s="56" t="s">
        <v>135</v>
      </c>
      <c r="E26" s="1" t="s">
        <v>136</v>
      </c>
      <c r="F26" s="1" t="s">
        <v>137</v>
      </c>
      <c r="G26" s="1" t="s">
        <v>138</v>
      </c>
      <c r="H26" s="1" t="s">
        <v>139</v>
      </c>
    </row>
    <row r="27" spans="1:23" ht="44.25" customHeight="1">
      <c r="B27" s="354" t="s">
        <v>180</v>
      </c>
      <c r="C27" s="355"/>
      <c r="D27" s="267">
        <v>10</v>
      </c>
      <c r="E27" s="265">
        <v>42</v>
      </c>
      <c r="F27" s="265"/>
      <c r="G27" s="265">
        <v>53</v>
      </c>
      <c r="H27" s="34">
        <f>SUM(D27:G27)</f>
        <v>105</v>
      </c>
    </row>
    <row r="28" spans="1:23" ht="14.25">
      <c r="B28" s="59" t="s">
        <v>24</v>
      </c>
      <c r="C28" s="56"/>
      <c r="D28" s="60">
        <f>+D27</f>
        <v>10</v>
      </c>
      <c r="E28" s="60">
        <f t="shared" ref="E28:H28" si="12">+E27</f>
        <v>42</v>
      </c>
      <c r="F28" s="60">
        <f t="shared" si="12"/>
        <v>0</v>
      </c>
      <c r="G28" s="60">
        <f t="shared" si="12"/>
        <v>53</v>
      </c>
      <c r="H28" s="60">
        <f t="shared" si="12"/>
        <v>105</v>
      </c>
    </row>
    <row r="32" spans="1:23" ht="69" customHeight="1"/>
  </sheetData>
  <mergeCells count="18">
    <mergeCell ref="B26:C26"/>
    <mergeCell ref="B1:F1"/>
    <mergeCell ref="B27:C27"/>
    <mergeCell ref="S9:S10"/>
    <mergeCell ref="Q2:S2"/>
    <mergeCell ref="A6:W6"/>
    <mergeCell ref="A5:W5"/>
    <mergeCell ref="N9:R9"/>
    <mergeCell ref="T9:T10"/>
    <mergeCell ref="U9:U10"/>
    <mergeCell ref="V9:V10"/>
    <mergeCell ref="W9:W10"/>
    <mergeCell ref="A9:A10"/>
    <mergeCell ref="B9:B10"/>
    <mergeCell ref="C9:C10"/>
    <mergeCell ref="D9:G9"/>
    <mergeCell ref="H9:M9"/>
    <mergeCell ref="C3:H3"/>
  </mergeCells>
  <pageMargins left="0.34" right="0.15748031496063" top="0.59" bottom="0.98425196850393704" header="0.511811023622047" footer="0.511811023622047"/>
  <pageSetup scale="60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W32"/>
  <sheetViews>
    <sheetView zoomScaleNormal="100" workbookViewId="0">
      <selection activeCell="C20" sqref="C20"/>
    </sheetView>
  </sheetViews>
  <sheetFormatPr defaultColWidth="6" defaultRowHeight="13.5"/>
  <cols>
    <col min="1" max="1" width="4.42578125" style="132" customWidth="1"/>
    <col min="2" max="2" width="25.140625" style="132" customWidth="1"/>
    <col min="3" max="3" width="5.7109375" style="132" customWidth="1"/>
    <col min="4" max="4" width="6" style="132" customWidth="1"/>
    <col min="5" max="5" width="7.7109375" style="132" bestFit="1" customWidth="1"/>
    <col min="6" max="6" width="11.42578125" style="132" bestFit="1" customWidth="1"/>
    <col min="7" max="7" width="11.28515625" style="132" bestFit="1" customWidth="1"/>
    <col min="8" max="8" width="7.42578125" style="132" bestFit="1" customWidth="1"/>
    <col min="9" max="9" width="8.7109375" style="132" bestFit="1" customWidth="1"/>
    <col min="10" max="10" width="8.42578125" style="132" bestFit="1" customWidth="1"/>
    <col min="11" max="11" width="9" style="132" bestFit="1" customWidth="1"/>
    <col min="12" max="12" width="10.140625" style="132" bestFit="1" customWidth="1"/>
    <col min="13" max="13" width="11.7109375" style="132" bestFit="1" customWidth="1"/>
    <col min="14" max="15" width="4.5703125" style="132" customWidth="1"/>
    <col min="16" max="16" width="8.85546875" style="132" customWidth="1"/>
    <col min="17" max="17" width="9.140625" style="132" customWidth="1"/>
    <col min="18" max="18" width="12" style="132" customWidth="1"/>
    <col min="19" max="19" width="9.7109375" style="132" bestFit="1" customWidth="1"/>
    <col min="20" max="247" width="9.140625" style="132" customWidth="1"/>
    <col min="248" max="248" width="4.42578125" style="132" customWidth="1"/>
    <col min="249" max="249" width="20.85546875" style="132" customWidth="1"/>
    <col min="250" max="250" width="5.7109375" style="132" customWidth="1"/>
    <col min="251" max="16384" width="6" style="132"/>
  </cols>
  <sheetData>
    <row r="1" spans="1:23" s="7" customFormat="1" ht="23.25" customHeight="1">
      <c r="A1" s="4"/>
      <c r="B1" s="332"/>
      <c r="C1" s="333"/>
      <c r="D1" s="333"/>
      <c r="E1" s="333"/>
      <c r="F1" s="333"/>
      <c r="G1" s="22"/>
      <c r="H1" s="22"/>
      <c r="I1" s="5"/>
      <c r="J1" s="5"/>
      <c r="K1" s="5"/>
      <c r="L1" s="5"/>
      <c r="Q1" s="5"/>
      <c r="R1" s="64" t="s">
        <v>47</v>
      </c>
      <c r="S1" s="22"/>
    </row>
    <row r="2" spans="1:23" s="7" customFormat="1" ht="15" customHeight="1">
      <c r="A2" s="4"/>
      <c r="B2" s="66"/>
      <c r="C2" s="67"/>
      <c r="D2" s="67"/>
      <c r="E2" s="67"/>
      <c r="F2" s="22"/>
      <c r="G2" s="22"/>
      <c r="H2" s="22"/>
      <c r="I2" s="5"/>
      <c r="J2" s="5"/>
      <c r="K2" s="5"/>
      <c r="L2" s="5"/>
      <c r="Q2" s="314" t="s">
        <v>21</v>
      </c>
      <c r="R2" s="314"/>
      <c r="S2" s="314"/>
    </row>
    <row r="3" spans="1:23" s="7" customFormat="1" ht="39" customHeight="1" thickBot="1">
      <c r="B3" s="9" t="s">
        <v>65</v>
      </c>
      <c r="C3" s="353" t="s">
        <v>210</v>
      </c>
      <c r="D3" s="353"/>
      <c r="E3" s="353"/>
      <c r="F3" s="353"/>
      <c r="G3" s="353"/>
      <c r="H3" s="353"/>
      <c r="I3" s="5"/>
      <c r="J3" s="5"/>
      <c r="K3" s="5"/>
      <c r="L3" s="5"/>
    </row>
    <row r="4" spans="1:23" s="7" customFormat="1">
      <c r="A4" s="4"/>
      <c r="B4" s="22"/>
      <c r="C4" s="22"/>
      <c r="D4" s="25"/>
      <c r="E4" s="25"/>
      <c r="F4" s="22"/>
      <c r="G4" s="22"/>
      <c r="H4" s="22"/>
      <c r="I4" s="26"/>
      <c r="J4" s="5"/>
      <c r="K4" s="5"/>
      <c r="L4" s="5"/>
      <c r="M4" s="5"/>
    </row>
    <row r="5" spans="1:23" s="14" customFormat="1" ht="15" customHeight="1">
      <c r="A5" s="337" t="s">
        <v>22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</row>
    <row r="6" spans="1:23" s="14" customFormat="1" ht="15" customHeight="1">
      <c r="A6" s="337" t="s">
        <v>212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</row>
    <row r="7" spans="1:23" s="14" customFormat="1" ht="12.75">
      <c r="A7" s="6"/>
      <c r="B7" s="29"/>
      <c r="C7" s="29"/>
      <c r="D7" s="29"/>
      <c r="E7" s="29"/>
      <c r="F7" s="29"/>
      <c r="G7" s="29"/>
      <c r="H7" s="29"/>
      <c r="I7" s="6"/>
      <c r="J7" s="6"/>
      <c r="K7" s="6"/>
      <c r="L7" s="6"/>
      <c r="O7" s="6"/>
      <c r="P7" s="6"/>
    </row>
    <row r="8" spans="1:23" ht="17.25">
      <c r="B8" s="133"/>
      <c r="C8" s="134"/>
      <c r="D8" s="134"/>
    </row>
    <row r="9" spans="1:23" s="31" customFormat="1" ht="12.75" customHeight="1">
      <c r="A9" s="343" t="s">
        <v>0</v>
      </c>
      <c r="B9" s="343" t="s">
        <v>54</v>
      </c>
      <c r="C9" s="343" t="s">
        <v>55</v>
      </c>
      <c r="D9" s="345" t="s">
        <v>56</v>
      </c>
      <c r="E9" s="346"/>
      <c r="F9" s="346"/>
      <c r="G9" s="347"/>
      <c r="H9" s="345" t="s">
        <v>57</v>
      </c>
      <c r="I9" s="346"/>
      <c r="J9" s="346"/>
      <c r="K9" s="346"/>
      <c r="L9" s="346"/>
      <c r="M9" s="347"/>
      <c r="N9" s="345" t="s">
        <v>58</v>
      </c>
      <c r="O9" s="346"/>
      <c r="P9" s="346"/>
      <c r="Q9" s="346"/>
      <c r="R9" s="347"/>
      <c r="S9" s="343" t="s">
        <v>118</v>
      </c>
      <c r="T9" s="343" t="s">
        <v>119</v>
      </c>
      <c r="U9" s="343" t="s">
        <v>120</v>
      </c>
      <c r="V9" s="343" t="s">
        <v>121</v>
      </c>
      <c r="W9" s="343" t="s">
        <v>122</v>
      </c>
    </row>
    <row r="10" spans="1:23" s="32" customFormat="1" ht="76.5">
      <c r="A10" s="344"/>
      <c r="B10" s="344"/>
      <c r="C10" s="344"/>
      <c r="D10" s="53" t="s">
        <v>59</v>
      </c>
      <c r="E10" s="53" t="s">
        <v>60</v>
      </c>
      <c r="F10" s="53" t="s">
        <v>123</v>
      </c>
      <c r="G10" s="53" t="s">
        <v>214</v>
      </c>
      <c r="H10" s="53" t="s">
        <v>61</v>
      </c>
      <c r="I10" s="53" t="s">
        <v>132</v>
      </c>
      <c r="J10" s="53" t="s">
        <v>124</v>
      </c>
      <c r="K10" s="53" t="s">
        <v>131</v>
      </c>
      <c r="L10" s="53" t="s">
        <v>130</v>
      </c>
      <c r="M10" s="53" t="s">
        <v>217</v>
      </c>
      <c r="N10" s="53" t="s">
        <v>63</v>
      </c>
      <c r="O10" s="53" t="s">
        <v>64</v>
      </c>
      <c r="P10" s="53" t="s">
        <v>129</v>
      </c>
      <c r="Q10" s="54" t="s">
        <v>125</v>
      </c>
      <c r="R10" s="53" t="s">
        <v>215</v>
      </c>
      <c r="S10" s="344"/>
      <c r="T10" s="344"/>
      <c r="U10" s="344"/>
      <c r="V10" s="344"/>
      <c r="W10" s="344"/>
    </row>
    <row r="11" spans="1:23" s="31" customFormat="1">
      <c r="A11" s="65" t="s">
        <v>117</v>
      </c>
      <c r="B11" s="65" t="s">
        <v>2</v>
      </c>
      <c r="C11" s="65" t="s">
        <v>3</v>
      </c>
      <c r="D11" s="65" t="s">
        <v>4</v>
      </c>
      <c r="E11" s="65" t="s">
        <v>19</v>
      </c>
      <c r="F11" s="65" t="s">
        <v>18</v>
      </c>
      <c r="G11" s="65" t="s">
        <v>17</v>
      </c>
      <c r="H11" s="65" t="s">
        <v>16</v>
      </c>
      <c r="I11" s="65" t="s">
        <v>5</v>
      </c>
      <c r="J11" s="65" t="s">
        <v>6</v>
      </c>
      <c r="K11" s="65" t="s">
        <v>15</v>
      </c>
      <c r="L11" s="65" t="s">
        <v>20</v>
      </c>
      <c r="M11" s="65" t="s">
        <v>126</v>
      </c>
      <c r="N11" s="65" t="s">
        <v>0</v>
      </c>
      <c r="O11" s="65" t="s">
        <v>14</v>
      </c>
      <c r="P11" s="65" t="s">
        <v>127</v>
      </c>
      <c r="Q11" s="65" t="s">
        <v>7</v>
      </c>
      <c r="R11" s="65" t="s">
        <v>8</v>
      </c>
      <c r="S11" s="65" t="s">
        <v>9</v>
      </c>
      <c r="T11" s="65" t="s">
        <v>10</v>
      </c>
      <c r="U11" s="65" t="s">
        <v>11</v>
      </c>
      <c r="V11" s="65" t="s">
        <v>13</v>
      </c>
      <c r="W11" s="65" t="s">
        <v>128</v>
      </c>
    </row>
    <row r="12" spans="1:23" s="31" customFormat="1">
      <c r="A12" s="293">
        <v>1</v>
      </c>
      <c r="B12" s="1" t="s">
        <v>66</v>
      </c>
      <c r="C12" s="118">
        <v>1</v>
      </c>
      <c r="D12" s="80">
        <v>1</v>
      </c>
      <c r="E12" s="171">
        <v>2083.3000000000002</v>
      </c>
      <c r="F12" s="171">
        <f t="shared" ref="F12:F20" si="0">D12*E12</f>
        <v>2083.3000000000002</v>
      </c>
      <c r="G12" s="171">
        <f>F12*12/1000</f>
        <v>24.999600000000001</v>
      </c>
      <c r="H12" s="171">
        <v>2250</v>
      </c>
      <c r="I12" s="268">
        <f t="shared" ref="I12:I19" si="1">H12*C12</f>
        <v>2250</v>
      </c>
      <c r="J12" s="171">
        <f t="shared" ref="J12:J19" si="2">I12-D12*360</f>
        <v>1890</v>
      </c>
      <c r="K12" s="269">
        <f>+J12*5</f>
        <v>9450</v>
      </c>
      <c r="L12" s="171">
        <f>+K12</f>
        <v>9450</v>
      </c>
      <c r="M12" s="171">
        <f>L12*12/1000</f>
        <v>113.4</v>
      </c>
      <c r="N12" s="171">
        <v>8</v>
      </c>
      <c r="O12" s="171">
        <v>0</v>
      </c>
      <c r="P12" s="171">
        <f t="shared" ref="P12:P20" si="3">(N12+O12)*1000*C12</f>
        <v>8000</v>
      </c>
      <c r="Q12" s="171">
        <f>P12*20%</f>
        <v>1600</v>
      </c>
      <c r="R12" s="171">
        <f>(P12+Q12)*12/1000</f>
        <v>115.2</v>
      </c>
      <c r="S12" s="171">
        <f t="shared" ref="S12:S20" si="4">G12+M12+R12</f>
        <v>253.59960000000001</v>
      </c>
      <c r="T12" s="270"/>
      <c r="U12" s="270"/>
      <c r="V12" s="270"/>
      <c r="W12" s="270">
        <f>+(S12+T12+U12+V12)</f>
        <v>253.59960000000001</v>
      </c>
    </row>
    <row r="13" spans="1:23" s="31" customFormat="1">
      <c r="A13" s="293">
        <v>2</v>
      </c>
      <c r="B13" s="1" t="s">
        <v>67</v>
      </c>
      <c r="C13" s="118">
        <v>11</v>
      </c>
      <c r="D13" s="80">
        <v>9</v>
      </c>
      <c r="E13" s="171">
        <v>2083.3000000000002</v>
      </c>
      <c r="F13" s="171">
        <f t="shared" si="0"/>
        <v>18749.7</v>
      </c>
      <c r="G13" s="171">
        <f t="shared" ref="G13:G20" si="5">F13*12/1000</f>
        <v>224.99640000000002</v>
      </c>
      <c r="H13" s="171">
        <v>1500</v>
      </c>
      <c r="I13" s="268">
        <f t="shared" si="1"/>
        <v>16500</v>
      </c>
      <c r="J13" s="171">
        <f t="shared" si="2"/>
        <v>13260</v>
      </c>
      <c r="K13" s="269">
        <f t="shared" ref="K13:K20" si="6">+J13*5</f>
        <v>66300</v>
      </c>
      <c r="L13" s="171">
        <f t="shared" ref="L13:L20" si="7">+K13</f>
        <v>66300</v>
      </c>
      <c r="M13" s="171">
        <f t="shared" ref="M13:M20" si="8">L13*12/1000</f>
        <v>795.6</v>
      </c>
      <c r="N13" s="171">
        <v>6</v>
      </c>
      <c r="O13" s="171">
        <v>0</v>
      </c>
      <c r="P13" s="171">
        <f t="shared" si="3"/>
        <v>66000</v>
      </c>
      <c r="Q13" s="171">
        <f t="shared" ref="Q13:Q20" si="9">P13*20%</f>
        <v>13200</v>
      </c>
      <c r="R13" s="171">
        <f t="shared" ref="R13:R20" si="10">(P13+Q13)*12/1000</f>
        <v>950.4</v>
      </c>
      <c r="S13" s="171">
        <f t="shared" si="4"/>
        <v>1970.9964</v>
      </c>
      <c r="T13" s="270"/>
      <c r="U13" s="270"/>
      <c r="V13" s="270"/>
      <c r="W13" s="270">
        <f t="shared" ref="W13:W20" si="11">+(S13+T13+U13+V13)</f>
        <v>1970.9964</v>
      </c>
    </row>
    <row r="14" spans="1:23" s="31" customFormat="1">
      <c r="A14" s="293"/>
      <c r="B14" s="1" t="s">
        <v>88</v>
      </c>
      <c r="C14" s="118">
        <v>3</v>
      </c>
      <c r="D14" s="80">
        <v>3</v>
      </c>
      <c r="E14" s="171">
        <v>2083.3000000000002</v>
      </c>
      <c r="F14" s="171">
        <f>D14*E14</f>
        <v>6249.9000000000005</v>
      </c>
      <c r="G14" s="171">
        <f t="shared" si="5"/>
        <v>74.998800000000003</v>
      </c>
      <c r="H14" s="171">
        <v>1500</v>
      </c>
      <c r="I14" s="268">
        <f>H14*C14</f>
        <v>4500</v>
      </c>
      <c r="J14" s="171">
        <f>I14-D14*360</f>
        <v>3420</v>
      </c>
      <c r="K14" s="269">
        <f t="shared" si="6"/>
        <v>17100</v>
      </c>
      <c r="L14" s="171">
        <f t="shared" si="7"/>
        <v>17100</v>
      </c>
      <c r="M14" s="171">
        <f t="shared" si="8"/>
        <v>205.2</v>
      </c>
      <c r="N14" s="171">
        <v>6</v>
      </c>
      <c r="O14" s="171">
        <v>0</v>
      </c>
      <c r="P14" s="171">
        <f t="shared" si="3"/>
        <v>18000</v>
      </c>
      <c r="Q14" s="171">
        <f>P14*20%</f>
        <v>3600</v>
      </c>
      <c r="R14" s="171">
        <f t="shared" si="10"/>
        <v>259.2</v>
      </c>
      <c r="S14" s="171">
        <f t="shared" si="4"/>
        <v>539.39879999999994</v>
      </c>
      <c r="T14" s="270"/>
      <c r="U14" s="270"/>
      <c r="V14" s="270"/>
      <c r="W14" s="270">
        <f t="shared" si="11"/>
        <v>539.39879999999994</v>
      </c>
    </row>
    <row r="15" spans="1:23" s="31" customFormat="1">
      <c r="A15" s="293">
        <v>3</v>
      </c>
      <c r="B15" s="1" t="s">
        <v>68</v>
      </c>
      <c r="C15" s="118">
        <v>1</v>
      </c>
      <c r="D15" s="80">
        <v>1</v>
      </c>
      <c r="E15" s="171">
        <v>2083.3000000000002</v>
      </c>
      <c r="F15" s="171">
        <f>D15*E15</f>
        <v>2083.3000000000002</v>
      </c>
      <c r="G15" s="171">
        <f t="shared" si="5"/>
        <v>24.999600000000001</v>
      </c>
      <c r="H15" s="171">
        <v>1750</v>
      </c>
      <c r="I15" s="268">
        <f t="shared" si="1"/>
        <v>1750</v>
      </c>
      <c r="J15" s="171">
        <f t="shared" si="2"/>
        <v>1390</v>
      </c>
      <c r="K15" s="269">
        <f t="shared" si="6"/>
        <v>6950</v>
      </c>
      <c r="L15" s="171">
        <f t="shared" si="7"/>
        <v>6950</v>
      </c>
      <c r="M15" s="171">
        <f t="shared" si="8"/>
        <v>83.4</v>
      </c>
      <c r="N15" s="171">
        <v>4</v>
      </c>
      <c r="O15" s="171">
        <v>0</v>
      </c>
      <c r="P15" s="171">
        <f t="shared" si="3"/>
        <v>4000</v>
      </c>
      <c r="Q15" s="171">
        <f>P15*20%</f>
        <v>800</v>
      </c>
      <c r="R15" s="171">
        <f t="shared" si="10"/>
        <v>57.6</v>
      </c>
      <c r="S15" s="171">
        <f t="shared" si="4"/>
        <v>165.99960000000002</v>
      </c>
      <c r="T15" s="270"/>
      <c r="U15" s="270"/>
      <c r="V15" s="270"/>
      <c r="W15" s="270">
        <f t="shared" si="11"/>
        <v>165.99960000000002</v>
      </c>
    </row>
    <row r="16" spans="1:23" s="31" customFormat="1">
      <c r="A16" s="293">
        <v>4</v>
      </c>
      <c r="B16" s="1" t="s">
        <v>69</v>
      </c>
      <c r="C16" s="118">
        <v>1</v>
      </c>
      <c r="D16" s="80">
        <v>1</v>
      </c>
      <c r="E16" s="171">
        <v>2083.3000000000002</v>
      </c>
      <c r="F16" s="171">
        <f>D16*E16</f>
        <v>2083.3000000000002</v>
      </c>
      <c r="G16" s="171">
        <f t="shared" si="5"/>
        <v>24.999600000000001</v>
      </c>
      <c r="H16" s="171">
        <v>1750</v>
      </c>
      <c r="I16" s="268">
        <f t="shared" si="1"/>
        <v>1750</v>
      </c>
      <c r="J16" s="171">
        <f t="shared" si="2"/>
        <v>1390</v>
      </c>
      <c r="K16" s="269">
        <f t="shared" si="6"/>
        <v>6950</v>
      </c>
      <c r="L16" s="171">
        <f t="shared" si="7"/>
        <v>6950</v>
      </c>
      <c r="M16" s="171">
        <f t="shared" si="8"/>
        <v>83.4</v>
      </c>
      <c r="N16" s="171">
        <v>5</v>
      </c>
      <c r="O16" s="171">
        <v>0</v>
      </c>
      <c r="P16" s="171">
        <f t="shared" si="3"/>
        <v>5000</v>
      </c>
      <c r="Q16" s="171">
        <f t="shared" si="9"/>
        <v>1000</v>
      </c>
      <c r="R16" s="171">
        <f t="shared" si="10"/>
        <v>72</v>
      </c>
      <c r="S16" s="171">
        <f t="shared" si="4"/>
        <v>180.39960000000002</v>
      </c>
      <c r="T16" s="270"/>
      <c r="U16" s="270"/>
      <c r="V16" s="270"/>
      <c r="W16" s="270">
        <f t="shared" si="11"/>
        <v>180.39960000000002</v>
      </c>
    </row>
    <row r="17" spans="1:23" s="31" customFormat="1">
      <c r="A17" s="293">
        <v>5</v>
      </c>
      <c r="B17" s="1" t="s">
        <v>70</v>
      </c>
      <c r="C17" s="118">
        <v>1</v>
      </c>
      <c r="D17" s="80">
        <v>1</v>
      </c>
      <c r="E17" s="171">
        <v>2083.3000000000002</v>
      </c>
      <c r="F17" s="171">
        <f>D17*E17</f>
        <v>2083.3000000000002</v>
      </c>
      <c r="G17" s="171">
        <f t="shared" si="5"/>
        <v>24.999600000000001</v>
      </c>
      <c r="H17" s="171">
        <v>1250</v>
      </c>
      <c r="I17" s="268">
        <f t="shared" si="1"/>
        <v>1250</v>
      </c>
      <c r="J17" s="171">
        <f t="shared" si="2"/>
        <v>890</v>
      </c>
      <c r="K17" s="269">
        <f t="shared" si="6"/>
        <v>4450</v>
      </c>
      <c r="L17" s="171">
        <f t="shared" si="7"/>
        <v>4450</v>
      </c>
      <c r="M17" s="171">
        <f t="shared" si="8"/>
        <v>53.4</v>
      </c>
      <c r="N17" s="171">
        <v>2</v>
      </c>
      <c r="O17" s="171">
        <v>0</v>
      </c>
      <c r="P17" s="171">
        <f t="shared" si="3"/>
        <v>2000</v>
      </c>
      <c r="Q17" s="171">
        <f t="shared" si="9"/>
        <v>400</v>
      </c>
      <c r="R17" s="171">
        <f t="shared" si="10"/>
        <v>28.8</v>
      </c>
      <c r="S17" s="171">
        <f t="shared" si="4"/>
        <v>107.19959999999999</v>
      </c>
      <c r="T17" s="270"/>
      <c r="U17" s="270"/>
      <c r="V17" s="270"/>
      <c r="W17" s="270">
        <f t="shared" si="11"/>
        <v>107.19959999999999</v>
      </c>
    </row>
    <row r="18" spans="1:23" s="31" customFormat="1" ht="27">
      <c r="A18" s="293">
        <v>6</v>
      </c>
      <c r="B18" s="33" t="s">
        <v>71</v>
      </c>
      <c r="C18" s="85">
        <v>5</v>
      </c>
      <c r="D18" s="80">
        <v>5</v>
      </c>
      <c r="E18" s="171">
        <v>2083.3000000000002</v>
      </c>
      <c r="F18" s="171">
        <f t="shared" si="0"/>
        <v>10416.5</v>
      </c>
      <c r="G18" s="171">
        <f t="shared" si="5"/>
        <v>124.998</v>
      </c>
      <c r="H18" s="171">
        <v>1750</v>
      </c>
      <c r="I18" s="268">
        <f t="shared" si="1"/>
        <v>8750</v>
      </c>
      <c r="J18" s="171">
        <f t="shared" si="2"/>
        <v>6950</v>
      </c>
      <c r="K18" s="269">
        <f t="shared" si="6"/>
        <v>34750</v>
      </c>
      <c r="L18" s="171">
        <f t="shared" si="7"/>
        <v>34750</v>
      </c>
      <c r="M18" s="171">
        <f t="shared" si="8"/>
        <v>417</v>
      </c>
      <c r="N18" s="171">
        <v>3</v>
      </c>
      <c r="O18" s="171">
        <v>0</v>
      </c>
      <c r="P18" s="171">
        <f t="shared" si="3"/>
        <v>15000</v>
      </c>
      <c r="Q18" s="171">
        <f t="shared" si="9"/>
        <v>3000</v>
      </c>
      <c r="R18" s="171">
        <f t="shared" si="10"/>
        <v>216</v>
      </c>
      <c r="S18" s="171">
        <f t="shared" si="4"/>
        <v>757.99800000000005</v>
      </c>
      <c r="T18" s="271"/>
      <c r="U18" s="271"/>
      <c r="V18" s="271"/>
      <c r="W18" s="270">
        <f t="shared" si="11"/>
        <v>757.99800000000005</v>
      </c>
    </row>
    <row r="19" spans="1:23" s="31" customFormat="1" ht="14.25">
      <c r="A19" s="293">
        <v>7</v>
      </c>
      <c r="B19" s="33" t="s">
        <v>73</v>
      </c>
      <c r="C19" s="118">
        <v>39</v>
      </c>
      <c r="D19" s="80">
        <v>2</v>
      </c>
      <c r="E19" s="171">
        <v>2083.3000000000002</v>
      </c>
      <c r="F19" s="171">
        <f>D19*E19</f>
        <v>4166.6000000000004</v>
      </c>
      <c r="G19" s="171">
        <f t="shared" si="5"/>
        <v>49.999200000000002</v>
      </c>
      <c r="H19" s="171">
        <v>100</v>
      </c>
      <c r="I19" s="268">
        <f t="shared" si="1"/>
        <v>3900</v>
      </c>
      <c r="J19" s="171">
        <f t="shared" si="2"/>
        <v>3180</v>
      </c>
      <c r="K19" s="269">
        <f t="shared" si="6"/>
        <v>15900</v>
      </c>
      <c r="L19" s="171">
        <f t="shared" si="7"/>
        <v>15900</v>
      </c>
      <c r="M19" s="171">
        <f t="shared" si="8"/>
        <v>190.8</v>
      </c>
      <c r="N19" s="171">
        <v>0.5</v>
      </c>
      <c r="O19" s="171">
        <v>0</v>
      </c>
      <c r="P19" s="171">
        <f t="shared" si="3"/>
        <v>19500</v>
      </c>
      <c r="Q19" s="171">
        <f>P19*20%</f>
        <v>3900</v>
      </c>
      <c r="R19" s="171">
        <f t="shared" si="10"/>
        <v>280.8</v>
      </c>
      <c r="S19" s="171">
        <f t="shared" si="4"/>
        <v>521.5992</v>
      </c>
      <c r="T19" s="280"/>
      <c r="U19" s="280"/>
      <c r="V19" s="280"/>
      <c r="W19" s="270">
        <f t="shared" si="11"/>
        <v>521.5992</v>
      </c>
    </row>
    <row r="20" spans="1:23" s="31" customFormat="1" ht="14.25">
      <c r="A20" s="293">
        <v>8</v>
      </c>
      <c r="B20" s="1" t="s">
        <v>72</v>
      </c>
      <c r="C20" s="85">
        <v>62</v>
      </c>
      <c r="D20" s="80">
        <v>1</v>
      </c>
      <c r="E20" s="171">
        <v>2083.3000000000002</v>
      </c>
      <c r="F20" s="171">
        <f t="shared" si="0"/>
        <v>2083.3000000000002</v>
      </c>
      <c r="G20" s="171">
        <f t="shared" si="5"/>
        <v>24.999600000000001</v>
      </c>
      <c r="H20" s="171">
        <v>360</v>
      </c>
      <c r="I20" s="268">
        <f>H20*D20</f>
        <v>360</v>
      </c>
      <c r="J20" s="171">
        <f>I20-D20*360</f>
        <v>0</v>
      </c>
      <c r="K20" s="269">
        <f t="shared" si="6"/>
        <v>0</v>
      </c>
      <c r="L20" s="171">
        <f t="shared" si="7"/>
        <v>0</v>
      </c>
      <c r="M20" s="171">
        <f t="shared" si="8"/>
        <v>0</v>
      </c>
      <c r="N20" s="171">
        <v>0</v>
      </c>
      <c r="O20" s="171">
        <v>0</v>
      </c>
      <c r="P20" s="171">
        <f t="shared" si="3"/>
        <v>0</v>
      </c>
      <c r="Q20" s="171">
        <f t="shared" si="9"/>
        <v>0</v>
      </c>
      <c r="R20" s="171">
        <f t="shared" si="10"/>
        <v>0</v>
      </c>
      <c r="S20" s="171">
        <f t="shared" si="4"/>
        <v>24.999600000000001</v>
      </c>
      <c r="T20" s="272"/>
      <c r="U20" s="272"/>
      <c r="V20" s="272"/>
      <c r="W20" s="270">
        <f t="shared" si="11"/>
        <v>24.999600000000001</v>
      </c>
    </row>
    <row r="21" spans="1:23" s="31" customFormat="1" ht="16.5">
      <c r="A21" s="34"/>
      <c r="B21" s="35" t="s">
        <v>24</v>
      </c>
      <c r="C21" s="36">
        <f>SUM(C12:C20)</f>
        <v>124</v>
      </c>
      <c r="D21" s="36">
        <f>SUM(D12:D20)</f>
        <v>24</v>
      </c>
      <c r="E21" s="272"/>
      <c r="F21" s="272">
        <f>SUM(F12:F20)</f>
        <v>49999.200000000004</v>
      </c>
      <c r="G21" s="272">
        <f>SUM(G12:G20)</f>
        <v>599.99040000000002</v>
      </c>
      <c r="H21" s="272"/>
      <c r="I21" s="272">
        <f>SUM(I12:I20)</f>
        <v>41010</v>
      </c>
      <c r="J21" s="272"/>
      <c r="K21" s="273"/>
      <c r="L21" s="272">
        <f>SUM(L12:L20)</f>
        <v>161850</v>
      </c>
      <c r="M21" s="272">
        <f>SUM(M12:M20)</f>
        <v>1942.2000000000003</v>
      </c>
      <c r="N21" s="272"/>
      <c r="O21" s="272"/>
      <c r="P21" s="272"/>
      <c r="Q21" s="272"/>
      <c r="R21" s="272">
        <f>SUM(R12:R20)</f>
        <v>1979.9999999999998</v>
      </c>
      <c r="S21" s="274">
        <f>(R21+M21+G21)</f>
        <v>4522.1903999999995</v>
      </c>
      <c r="T21" s="272">
        <f>SUM(T12:T18)</f>
        <v>0</v>
      </c>
      <c r="U21" s="272">
        <f>SUM(U12:U18)</f>
        <v>0</v>
      </c>
      <c r="V21" s="272">
        <f>SUM(V12:V18)</f>
        <v>0</v>
      </c>
      <c r="W21" s="272">
        <f>SUM(W12:W20)</f>
        <v>4522.1904000000004</v>
      </c>
    </row>
    <row r="22" spans="1:23" s="55" customFormat="1">
      <c r="A22" s="119"/>
      <c r="B22" s="120"/>
      <c r="C22" s="121"/>
      <c r="D22" s="121"/>
      <c r="E22" s="121"/>
      <c r="F22" s="121"/>
      <c r="G22" s="298">
        <f>G21</f>
        <v>599.99040000000002</v>
      </c>
      <c r="H22" s="121"/>
      <c r="I22" s="119"/>
      <c r="R22" s="122">
        <f>(R21+M21)</f>
        <v>3922.2</v>
      </c>
    </row>
    <row r="25" spans="1:23">
      <c r="A25" s="7" t="s">
        <v>133</v>
      </c>
      <c r="B25" s="7"/>
      <c r="C25" s="7"/>
      <c r="D25" s="7"/>
      <c r="E25" s="7"/>
      <c r="F25" s="7"/>
      <c r="G25" s="7"/>
    </row>
    <row r="26" spans="1:23" ht="14.25">
      <c r="A26" s="341" t="s">
        <v>134</v>
      </c>
      <c r="B26" s="342"/>
      <c r="C26" s="56" t="s">
        <v>135</v>
      </c>
      <c r="D26" s="1" t="s">
        <v>136</v>
      </c>
      <c r="E26" s="1" t="s">
        <v>137</v>
      </c>
      <c r="F26" s="1" t="s">
        <v>138</v>
      </c>
      <c r="G26" s="1" t="s">
        <v>139</v>
      </c>
    </row>
    <row r="27" spans="1:23" ht="41.25" customHeight="1">
      <c r="A27" s="354" t="s">
        <v>210</v>
      </c>
      <c r="B27" s="355"/>
      <c r="C27" s="267">
        <v>14</v>
      </c>
      <c r="D27" s="265">
        <v>55</v>
      </c>
      <c r="E27" s="265"/>
      <c r="F27" s="265">
        <v>55</v>
      </c>
      <c r="G27" s="34">
        <f>SUM(C27:F27)</f>
        <v>124</v>
      </c>
    </row>
    <row r="28" spans="1:23" ht="14.25">
      <c r="A28" s="59" t="s">
        <v>24</v>
      </c>
      <c r="B28" s="56"/>
      <c r="C28" s="60">
        <f>+C27</f>
        <v>14</v>
      </c>
      <c r="D28" s="60">
        <f t="shared" ref="D28:G28" si="12">+D27</f>
        <v>55</v>
      </c>
      <c r="E28" s="60">
        <f t="shared" si="12"/>
        <v>0</v>
      </c>
      <c r="F28" s="60">
        <f t="shared" si="12"/>
        <v>55</v>
      </c>
      <c r="G28" s="60">
        <f t="shared" si="12"/>
        <v>124</v>
      </c>
    </row>
    <row r="32" spans="1:23" ht="69" customHeight="1"/>
  </sheetData>
  <mergeCells count="18">
    <mergeCell ref="A27:B27"/>
    <mergeCell ref="B1:F1"/>
    <mergeCell ref="S9:S10"/>
    <mergeCell ref="Q2:S2"/>
    <mergeCell ref="A9:A10"/>
    <mergeCell ref="B9:B10"/>
    <mergeCell ref="C9:C10"/>
    <mergeCell ref="D9:G9"/>
    <mergeCell ref="A6:W6"/>
    <mergeCell ref="A5:W5"/>
    <mergeCell ref="H9:M9"/>
    <mergeCell ref="N9:R9"/>
    <mergeCell ref="T9:T10"/>
    <mergeCell ref="U9:U10"/>
    <mergeCell ref="V9:V10"/>
    <mergeCell ref="C3:H3"/>
    <mergeCell ref="W9:W10"/>
    <mergeCell ref="A26:B26"/>
  </mergeCells>
  <pageMargins left="0.35433070866141703" right="0.27559055118110198" top="0.55118110236220497" bottom="0.35433070866141703" header="0.15748031496063" footer="0.23622047244094499"/>
  <pageSetup scale="65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W31"/>
  <sheetViews>
    <sheetView zoomScaleNormal="100" workbookViewId="0">
      <selection activeCell="C19" sqref="C19"/>
    </sheetView>
  </sheetViews>
  <sheetFormatPr defaultColWidth="8.42578125" defaultRowHeight="13.5"/>
  <cols>
    <col min="1" max="1" width="4.42578125" style="135" customWidth="1"/>
    <col min="2" max="2" width="21.42578125" style="135" customWidth="1"/>
    <col min="3" max="3" width="7.140625" style="135" customWidth="1"/>
    <col min="4" max="4" width="5.7109375" style="135" customWidth="1"/>
    <col min="5" max="5" width="7.7109375" style="135" bestFit="1" customWidth="1"/>
    <col min="6" max="6" width="11.42578125" style="135" bestFit="1" customWidth="1"/>
    <col min="7" max="7" width="8.42578125" style="135" bestFit="1" customWidth="1"/>
    <col min="8" max="8" width="7.42578125" style="135" bestFit="1" customWidth="1"/>
    <col min="9" max="9" width="9.140625" style="135" bestFit="1" customWidth="1"/>
    <col min="10" max="10" width="8.42578125" style="135" bestFit="1" customWidth="1"/>
    <col min="11" max="11" width="8.7109375" style="135" bestFit="1" customWidth="1"/>
    <col min="12" max="12" width="10.140625" style="135" bestFit="1" customWidth="1"/>
    <col min="13" max="13" width="8" style="135" bestFit="1" customWidth="1"/>
    <col min="14" max="14" width="5.28515625" style="135" bestFit="1" customWidth="1"/>
    <col min="15" max="15" width="5.42578125" style="135" customWidth="1"/>
    <col min="16" max="16" width="8.85546875" style="135" bestFit="1" customWidth="1"/>
    <col min="17" max="17" width="8.5703125" style="135" bestFit="1" customWidth="1"/>
    <col min="18" max="18" width="12.28515625" style="135" bestFit="1" customWidth="1"/>
    <col min="19" max="19" width="9" style="135" bestFit="1" customWidth="1"/>
    <col min="20" max="20" width="9.140625" style="135" customWidth="1"/>
    <col min="21" max="21" width="8.85546875" style="135" bestFit="1" customWidth="1"/>
    <col min="22" max="22" width="6.85546875" style="135" bestFit="1" customWidth="1"/>
    <col min="23" max="23" width="9" style="135" bestFit="1" customWidth="1"/>
    <col min="24" max="244" width="9.140625" style="135" customWidth="1"/>
    <col min="245" max="245" width="4.42578125" style="135" customWidth="1"/>
    <col min="246" max="246" width="21.42578125" style="135" customWidth="1"/>
    <col min="247" max="247" width="7.140625" style="135" customWidth="1"/>
    <col min="248" max="248" width="5.7109375" style="135" customWidth="1"/>
    <col min="249" max="249" width="8.140625" style="135" customWidth="1"/>
    <col min="250" max="16384" width="8.42578125" style="135"/>
  </cols>
  <sheetData>
    <row r="1" spans="1:23" s="7" customFormat="1" ht="23.25" customHeight="1">
      <c r="A1" s="4"/>
      <c r="B1" s="332"/>
      <c r="C1" s="333"/>
      <c r="D1" s="333"/>
      <c r="E1" s="333"/>
      <c r="F1" s="333"/>
      <c r="G1" s="22"/>
      <c r="H1" s="22"/>
      <c r="I1" s="5"/>
      <c r="J1" s="5"/>
      <c r="K1" s="5"/>
      <c r="L1" s="5"/>
      <c r="Q1" s="5"/>
      <c r="R1" s="162" t="s">
        <v>47</v>
      </c>
      <c r="S1" s="22"/>
    </row>
    <row r="2" spans="1:23" s="7" customFormat="1" ht="15" customHeight="1">
      <c r="A2" s="4"/>
      <c r="B2" s="164"/>
      <c r="C2" s="166"/>
      <c r="D2" s="166"/>
      <c r="E2" s="166"/>
      <c r="F2" s="22"/>
      <c r="G2" s="22"/>
      <c r="H2" s="22"/>
      <c r="I2" s="5"/>
      <c r="J2" s="5"/>
      <c r="K2" s="5"/>
      <c r="L2" s="5"/>
      <c r="Q2" s="314" t="s">
        <v>21</v>
      </c>
      <c r="R2" s="314"/>
      <c r="S2" s="314"/>
    </row>
    <row r="3" spans="1:23" s="7" customFormat="1" ht="44.25" customHeight="1" thickBot="1">
      <c r="B3" s="9" t="s">
        <v>65</v>
      </c>
      <c r="C3" s="353" t="s">
        <v>184</v>
      </c>
      <c r="D3" s="353"/>
      <c r="E3" s="353"/>
      <c r="F3" s="353"/>
      <c r="G3" s="353"/>
      <c r="H3" s="353"/>
      <c r="I3" s="5"/>
      <c r="J3" s="5"/>
      <c r="K3" s="5"/>
      <c r="L3" s="5"/>
    </row>
    <row r="4" spans="1:23" s="7" customFormat="1">
      <c r="A4" s="4"/>
      <c r="B4" s="22"/>
      <c r="C4" s="22"/>
      <c r="D4" s="25"/>
      <c r="E4" s="25"/>
      <c r="F4" s="22"/>
      <c r="G4" s="22"/>
      <c r="H4" s="22"/>
      <c r="I4" s="26"/>
      <c r="J4" s="5"/>
      <c r="K4" s="5"/>
      <c r="L4" s="5"/>
      <c r="M4" s="5"/>
    </row>
    <row r="5" spans="1:23" s="14" customFormat="1" ht="15" customHeight="1">
      <c r="A5" s="337" t="s">
        <v>22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</row>
    <row r="6" spans="1:23" s="14" customFormat="1" ht="15" customHeight="1">
      <c r="A6" s="337" t="s">
        <v>212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</row>
    <row r="7" spans="1:23" s="14" customFormat="1" ht="12.75">
      <c r="A7" s="6"/>
      <c r="B7" s="29"/>
      <c r="C7" s="29"/>
      <c r="D7" s="29"/>
      <c r="E7" s="29"/>
      <c r="F7" s="29"/>
      <c r="G7" s="29"/>
      <c r="H7" s="29"/>
      <c r="I7" s="6"/>
      <c r="J7" s="6"/>
      <c r="K7" s="6"/>
      <c r="L7" s="6"/>
      <c r="O7" s="6"/>
      <c r="P7" s="6"/>
    </row>
    <row r="8" spans="1:23" s="7" customFormat="1">
      <c r="A8" s="5"/>
      <c r="B8" s="30"/>
      <c r="C8" s="25"/>
      <c r="D8" s="25"/>
      <c r="E8" s="25"/>
      <c r="F8" s="25"/>
      <c r="G8" s="25"/>
      <c r="H8" s="25"/>
      <c r="I8" s="5"/>
    </row>
    <row r="9" spans="1:23" s="31" customFormat="1" ht="12.75" customHeight="1">
      <c r="A9" s="343" t="s">
        <v>0</v>
      </c>
      <c r="B9" s="343" t="s">
        <v>54</v>
      </c>
      <c r="C9" s="343" t="s">
        <v>55</v>
      </c>
      <c r="D9" s="345" t="s">
        <v>56</v>
      </c>
      <c r="E9" s="346"/>
      <c r="F9" s="346"/>
      <c r="G9" s="347"/>
      <c r="H9" s="345" t="s">
        <v>57</v>
      </c>
      <c r="I9" s="346"/>
      <c r="J9" s="346"/>
      <c r="K9" s="346"/>
      <c r="L9" s="346"/>
      <c r="M9" s="347"/>
      <c r="N9" s="345" t="s">
        <v>58</v>
      </c>
      <c r="O9" s="346"/>
      <c r="P9" s="346"/>
      <c r="Q9" s="346"/>
      <c r="R9" s="347"/>
      <c r="S9" s="343" t="s">
        <v>118</v>
      </c>
      <c r="T9" s="343" t="s">
        <v>119</v>
      </c>
      <c r="U9" s="343" t="s">
        <v>120</v>
      </c>
      <c r="V9" s="343" t="s">
        <v>121</v>
      </c>
      <c r="W9" s="343" t="s">
        <v>122</v>
      </c>
    </row>
    <row r="10" spans="1:23" s="32" customFormat="1" ht="63.75">
      <c r="A10" s="344"/>
      <c r="B10" s="344"/>
      <c r="C10" s="344"/>
      <c r="D10" s="53" t="s">
        <v>59</v>
      </c>
      <c r="E10" s="53" t="s">
        <v>60</v>
      </c>
      <c r="F10" s="53" t="s">
        <v>123</v>
      </c>
      <c r="G10" s="53" t="s">
        <v>214</v>
      </c>
      <c r="H10" s="53" t="s">
        <v>61</v>
      </c>
      <c r="I10" s="53" t="s">
        <v>132</v>
      </c>
      <c r="J10" s="53" t="s">
        <v>124</v>
      </c>
      <c r="K10" s="53" t="s">
        <v>131</v>
      </c>
      <c r="L10" s="53" t="s">
        <v>130</v>
      </c>
      <c r="M10" s="53" t="s">
        <v>217</v>
      </c>
      <c r="N10" s="53" t="s">
        <v>63</v>
      </c>
      <c r="O10" s="53" t="s">
        <v>64</v>
      </c>
      <c r="P10" s="53" t="s">
        <v>129</v>
      </c>
      <c r="Q10" s="54" t="s">
        <v>125</v>
      </c>
      <c r="R10" s="53" t="s">
        <v>215</v>
      </c>
      <c r="S10" s="344"/>
      <c r="T10" s="344"/>
      <c r="U10" s="344"/>
      <c r="V10" s="344"/>
      <c r="W10" s="344"/>
    </row>
    <row r="11" spans="1:23" s="31" customFormat="1">
      <c r="A11" s="163" t="s">
        <v>117</v>
      </c>
      <c r="B11" s="163" t="s">
        <v>2</v>
      </c>
      <c r="C11" s="163" t="s">
        <v>3</v>
      </c>
      <c r="D11" s="163" t="s">
        <v>4</v>
      </c>
      <c r="E11" s="163" t="s">
        <v>19</v>
      </c>
      <c r="F11" s="163" t="s">
        <v>18</v>
      </c>
      <c r="G11" s="163" t="s">
        <v>17</v>
      </c>
      <c r="H11" s="163" t="s">
        <v>16</v>
      </c>
      <c r="I11" s="163" t="s">
        <v>5</v>
      </c>
      <c r="J11" s="163" t="s">
        <v>6</v>
      </c>
      <c r="K11" s="163" t="s">
        <v>15</v>
      </c>
      <c r="L11" s="163" t="s">
        <v>20</v>
      </c>
      <c r="M11" s="163" t="s">
        <v>126</v>
      </c>
      <c r="N11" s="163" t="s">
        <v>0</v>
      </c>
      <c r="O11" s="163" t="s">
        <v>14</v>
      </c>
      <c r="P11" s="163" t="s">
        <v>127</v>
      </c>
      <c r="Q11" s="163" t="s">
        <v>7</v>
      </c>
      <c r="R11" s="163" t="s">
        <v>8</v>
      </c>
      <c r="S11" s="163" t="s">
        <v>9</v>
      </c>
      <c r="T11" s="163" t="s">
        <v>10</v>
      </c>
      <c r="U11" s="163" t="s">
        <v>11</v>
      </c>
      <c r="V11" s="163" t="s">
        <v>13</v>
      </c>
      <c r="W11" s="163" t="s">
        <v>128</v>
      </c>
    </row>
    <row r="12" spans="1:23" s="31" customFormat="1">
      <c r="A12" s="293">
        <v>1</v>
      </c>
      <c r="B12" s="1" t="s">
        <v>66</v>
      </c>
      <c r="C12" s="1">
        <v>1</v>
      </c>
      <c r="D12" s="1">
        <v>1</v>
      </c>
      <c r="E12" s="171">
        <v>2083.3000000000002</v>
      </c>
      <c r="F12" s="171">
        <f t="shared" ref="F12:F19" si="0">D12*E12</f>
        <v>2083.3000000000002</v>
      </c>
      <c r="G12" s="171">
        <f>F12*12/1000</f>
        <v>24.999600000000001</v>
      </c>
      <c r="H12" s="171">
        <v>2250</v>
      </c>
      <c r="I12" s="268">
        <f t="shared" ref="I12:I18" si="1">H12*C12</f>
        <v>2250</v>
      </c>
      <c r="J12" s="171">
        <f t="shared" ref="J12:J19" si="2">I12-D12*360</f>
        <v>1890</v>
      </c>
      <c r="K12" s="269">
        <f>+J12*5</f>
        <v>9450</v>
      </c>
      <c r="L12" s="171">
        <f>+K12</f>
        <v>9450</v>
      </c>
      <c r="M12" s="171">
        <f>L12*12/1000</f>
        <v>113.4</v>
      </c>
      <c r="N12" s="171">
        <v>8</v>
      </c>
      <c r="O12" s="171">
        <v>0</v>
      </c>
      <c r="P12" s="171">
        <f t="shared" ref="P12:P19" si="3">(N12+O12)*1000*C12</f>
        <v>8000</v>
      </c>
      <c r="Q12" s="171">
        <f>P12*20%</f>
        <v>1600</v>
      </c>
      <c r="R12" s="171">
        <f>(P12+Q12)*12/1000</f>
        <v>115.2</v>
      </c>
      <c r="S12" s="171">
        <f t="shared" ref="S12:S19" si="4">G12+M12+R12</f>
        <v>253.59960000000001</v>
      </c>
      <c r="T12" s="270"/>
      <c r="U12" s="270"/>
      <c r="V12" s="270"/>
      <c r="W12" s="270">
        <f>+(S12+T12+U12+V12)</f>
        <v>253.59960000000001</v>
      </c>
    </row>
    <row r="13" spans="1:23" s="31" customFormat="1">
      <c r="A13" s="293">
        <v>2</v>
      </c>
      <c r="B13" s="1" t="s">
        <v>67</v>
      </c>
      <c r="C13" s="1">
        <v>14</v>
      </c>
      <c r="D13" s="1">
        <v>16</v>
      </c>
      <c r="E13" s="171">
        <v>2083.3000000000002</v>
      </c>
      <c r="F13" s="171">
        <f t="shared" si="0"/>
        <v>33332.800000000003</v>
      </c>
      <c r="G13" s="171">
        <f t="shared" ref="G13:G19" si="5">F13*12/1000</f>
        <v>399.99360000000001</v>
      </c>
      <c r="H13" s="171">
        <v>1500</v>
      </c>
      <c r="I13" s="268">
        <f t="shared" si="1"/>
        <v>21000</v>
      </c>
      <c r="J13" s="171">
        <f t="shared" si="2"/>
        <v>15240</v>
      </c>
      <c r="K13" s="269">
        <f t="shared" ref="K13:K19" si="6">+J13*5</f>
        <v>76200</v>
      </c>
      <c r="L13" s="171">
        <f t="shared" ref="L13:L19" si="7">+K13</f>
        <v>76200</v>
      </c>
      <c r="M13" s="171">
        <f t="shared" ref="M13:M19" si="8">L13*12/1000</f>
        <v>914.4</v>
      </c>
      <c r="N13" s="171">
        <v>6</v>
      </c>
      <c r="O13" s="171">
        <v>0</v>
      </c>
      <c r="P13" s="171">
        <f t="shared" si="3"/>
        <v>84000</v>
      </c>
      <c r="Q13" s="171">
        <f t="shared" ref="Q13:Q19" si="9">P13*20%</f>
        <v>16800</v>
      </c>
      <c r="R13" s="171">
        <f t="shared" ref="R13:R19" si="10">(P13+Q13)*12/1000</f>
        <v>1209.5999999999999</v>
      </c>
      <c r="S13" s="171">
        <f t="shared" si="4"/>
        <v>2523.9935999999998</v>
      </c>
      <c r="T13" s="270"/>
      <c r="U13" s="270"/>
      <c r="V13" s="270"/>
      <c r="W13" s="270">
        <f t="shared" ref="W13:W19" si="11">+(S13+T13+U13+V13)</f>
        <v>2523.9935999999998</v>
      </c>
    </row>
    <row r="14" spans="1:23" s="31" customFormat="1">
      <c r="A14" s="293">
        <v>3</v>
      </c>
      <c r="B14" s="1" t="s">
        <v>68</v>
      </c>
      <c r="C14" s="1">
        <v>1</v>
      </c>
      <c r="D14" s="1">
        <v>1</v>
      </c>
      <c r="E14" s="171">
        <v>2083.3000000000002</v>
      </c>
      <c r="F14" s="171">
        <f>D14*E14</f>
        <v>2083.3000000000002</v>
      </c>
      <c r="G14" s="171">
        <f t="shared" si="5"/>
        <v>24.999600000000001</v>
      </c>
      <c r="H14" s="171">
        <v>1750</v>
      </c>
      <c r="I14" s="268">
        <f t="shared" si="1"/>
        <v>1750</v>
      </c>
      <c r="J14" s="171">
        <f t="shared" si="2"/>
        <v>1390</v>
      </c>
      <c r="K14" s="269">
        <f t="shared" si="6"/>
        <v>6950</v>
      </c>
      <c r="L14" s="171">
        <f t="shared" si="7"/>
        <v>6950</v>
      </c>
      <c r="M14" s="171">
        <f t="shared" si="8"/>
        <v>83.4</v>
      </c>
      <c r="N14" s="171">
        <v>4</v>
      </c>
      <c r="O14" s="171">
        <v>0</v>
      </c>
      <c r="P14" s="171">
        <f t="shared" si="3"/>
        <v>4000</v>
      </c>
      <c r="Q14" s="171">
        <f>P14*20%</f>
        <v>800</v>
      </c>
      <c r="R14" s="171">
        <f t="shared" si="10"/>
        <v>57.6</v>
      </c>
      <c r="S14" s="171">
        <f t="shared" si="4"/>
        <v>165.99960000000002</v>
      </c>
      <c r="T14" s="270"/>
      <c r="U14" s="270"/>
      <c r="V14" s="270"/>
      <c r="W14" s="270">
        <f t="shared" si="11"/>
        <v>165.99960000000002</v>
      </c>
    </row>
    <row r="15" spans="1:23" s="31" customFormat="1">
      <c r="A15" s="293">
        <v>4</v>
      </c>
      <c r="B15" s="1" t="s">
        <v>69</v>
      </c>
      <c r="C15" s="1">
        <v>1</v>
      </c>
      <c r="D15" s="1">
        <v>1</v>
      </c>
      <c r="E15" s="171">
        <v>2083.3000000000002</v>
      </c>
      <c r="F15" s="171">
        <f t="shared" si="0"/>
        <v>2083.3000000000002</v>
      </c>
      <c r="G15" s="171">
        <f t="shared" si="5"/>
        <v>24.999600000000001</v>
      </c>
      <c r="H15" s="171">
        <v>1750</v>
      </c>
      <c r="I15" s="268">
        <f t="shared" si="1"/>
        <v>1750</v>
      </c>
      <c r="J15" s="171">
        <f t="shared" si="2"/>
        <v>1390</v>
      </c>
      <c r="K15" s="269">
        <f t="shared" si="6"/>
        <v>6950</v>
      </c>
      <c r="L15" s="171">
        <f t="shared" si="7"/>
        <v>6950</v>
      </c>
      <c r="M15" s="171">
        <f t="shared" si="8"/>
        <v>83.4</v>
      </c>
      <c r="N15" s="171">
        <v>5</v>
      </c>
      <c r="O15" s="171">
        <v>0</v>
      </c>
      <c r="P15" s="171">
        <f t="shared" si="3"/>
        <v>5000</v>
      </c>
      <c r="Q15" s="171">
        <f t="shared" si="9"/>
        <v>1000</v>
      </c>
      <c r="R15" s="171">
        <f t="shared" si="10"/>
        <v>72</v>
      </c>
      <c r="S15" s="171">
        <f t="shared" si="4"/>
        <v>180.39960000000002</v>
      </c>
      <c r="T15" s="270"/>
      <c r="U15" s="270"/>
      <c r="V15" s="270"/>
      <c r="W15" s="270">
        <f t="shared" si="11"/>
        <v>180.39960000000002</v>
      </c>
    </row>
    <row r="16" spans="1:23" s="31" customFormat="1">
      <c r="A16" s="293">
        <v>5</v>
      </c>
      <c r="B16" s="1" t="s">
        <v>70</v>
      </c>
      <c r="C16" s="1">
        <v>1</v>
      </c>
      <c r="D16" s="1">
        <v>1</v>
      </c>
      <c r="E16" s="171">
        <v>2083.3000000000002</v>
      </c>
      <c r="F16" s="171">
        <f t="shared" si="0"/>
        <v>2083.3000000000002</v>
      </c>
      <c r="G16" s="171">
        <f t="shared" si="5"/>
        <v>24.999600000000001</v>
      </c>
      <c r="H16" s="171">
        <v>1250</v>
      </c>
      <c r="I16" s="268">
        <f t="shared" si="1"/>
        <v>1250</v>
      </c>
      <c r="J16" s="171">
        <f t="shared" si="2"/>
        <v>890</v>
      </c>
      <c r="K16" s="269">
        <f t="shared" si="6"/>
        <v>4450</v>
      </c>
      <c r="L16" s="171">
        <f t="shared" si="7"/>
        <v>4450</v>
      </c>
      <c r="M16" s="171">
        <f t="shared" si="8"/>
        <v>53.4</v>
      </c>
      <c r="N16" s="171">
        <v>2</v>
      </c>
      <c r="O16" s="171">
        <v>0</v>
      </c>
      <c r="P16" s="171">
        <f t="shared" si="3"/>
        <v>2000</v>
      </c>
      <c r="Q16" s="171">
        <f t="shared" si="9"/>
        <v>400</v>
      </c>
      <c r="R16" s="171">
        <f t="shared" si="10"/>
        <v>28.8</v>
      </c>
      <c r="S16" s="171">
        <f t="shared" si="4"/>
        <v>107.19959999999999</v>
      </c>
      <c r="T16" s="270"/>
      <c r="U16" s="270"/>
      <c r="V16" s="270"/>
      <c r="W16" s="270">
        <f t="shared" si="11"/>
        <v>107.19959999999999</v>
      </c>
    </row>
    <row r="17" spans="1:23" s="31" customFormat="1" ht="40.5">
      <c r="A17" s="293">
        <v>6</v>
      </c>
      <c r="B17" s="33" t="s">
        <v>71</v>
      </c>
      <c r="C17" s="2">
        <v>3</v>
      </c>
      <c r="D17" s="1">
        <v>3</v>
      </c>
      <c r="E17" s="171">
        <v>2083.3000000000002</v>
      </c>
      <c r="F17" s="171">
        <f t="shared" si="0"/>
        <v>6249.9000000000005</v>
      </c>
      <c r="G17" s="171">
        <f t="shared" si="5"/>
        <v>74.998800000000003</v>
      </c>
      <c r="H17" s="171">
        <v>1750</v>
      </c>
      <c r="I17" s="268">
        <f t="shared" si="1"/>
        <v>5250</v>
      </c>
      <c r="J17" s="171">
        <f t="shared" si="2"/>
        <v>4170</v>
      </c>
      <c r="K17" s="269">
        <f t="shared" si="6"/>
        <v>20850</v>
      </c>
      <c r="L17" s="171">
        <f t="shared" si="7"/>
        <v>20850</v>
      </c>
      <c r="M17" s="171">
        <f t="shared" si="8"/>
        <v>250.2</v>
      </c>
      <c r="N17" s="171">
        <v>4</v>
      </c>
      <c r="O17" s="171">
        <v>0</v>
      </c>
      <c r="P17" s="171">
        <f t="shared" si="3"/>
        <v>12000</v>
      </c>
      <c r="Q17" s="171">
        <f t="shared" si="9"/>
        <v>2400</v>
      </c>
      <c r="R17" s="171">
        <f t="shared" si="10"/>
        <v>172.8</v>
      </c>
      <c r="S17" s="171">
        <f t="shared" si="4"/>
        <v>497.99880000000002</v>
      </c>
      <c r="T17" s="271"/>
      <c r="U17" s="271"/>
      <c r="V17" s="271"/>
      <c r="W17" s="270">
        <f t="shared" si="11"/>
        <v>497.99880000000002</v>
      </c>
    </row>
    <row r="18" spans="1:23" s="31" customFormat="1" ht="14.25">
      <c r="A18" s="293">
        <v>7</v>
      </c>
      <c r="B18" s="33" t="s">
        <v>73</v>
      </c>
      <c r="C18" s="1">
        <v>50</v>
      </c>
      <c r="D18" s="1">
        <v>1</v>
      </c>
      <c r="E18" s="171">
        <v>2083.3000000000002</v>
      </c>
      <c r="F18" s="171">
        <f>D18*E18</f>
        <v>2083.3000000000002</v>
      </c>
      <c r="G18" s="171">
        <f t="shared" si="5"/>
        <v>24.999600000000001</v>
      </c>
      <c r="H18" s="171">
        <v>100</v>
      </c>
      <c r="I18" s="268">
        <f t="shared" si="1"/>
        <v>5000</v>
      </c>
      <c r="J18" s="171">
        <f t="shared" si="2"/>
        <v>4640</v>
      </c>
      <c r="K18" s="269">
        <f t="shared" si="6"/>
        <v>23200</v>
      </c>
      <c r="L18" s="171">
        <f t="shared" si="7"/>
        <v>23200</v>
      </c>
      <c r="M18" s="171">
        <f t="shared" si="8"/>
        <v>278.39999999999998</v>
      </c>
      <c r="N18" s="171">
        <v>0.5</v>
      </c>
      <c r="O18" s="171">
        <v>0</v>
      </c>
      <c r="P18" s="171">
        <f t="shared" si="3"/>
        <v>25000</v>
      </c>
      <c r="Q18" s="171">
        <f>P18*20%</f>
        <v>5000</v>
      </c>
      <c r="R18" s="171">
        <f t="shared" si="10"/>
        <v>360</v>
      </c>
      <c r="S18" s="171">
        <f t="shared" si="4"/>
        <v>663.39959999999996</v>
      </c>
      <c r="T18" s="280"/>
      <c r="U18" s="280"/>
      <c r="V18" s="280"/>
      <c r="W18" s="270">
        <f t="shared" si="11"/>
        <v>663.39959999999996</v>
      </c>
    </row>
    <row r="19" spans="1:23" s="31" customFormat="1" ht="14.25">
      <c r="A19" s="293">
        <v>8</v>
      </c>
      <c r="B19" s="1" t="s">
        <v>72</v>
      </c>
      <c r="C19" s="1">
        <v>52</v>
      </c>
      <c r="D19" s="1">
        <v>1</v>
      </c>
      <c r="E19" s="171">
        <v>2083.3000000000002</v>
      </c>
      <c r="F19" s="171">
        <f t="shared" si="0"/>
        <v>2083.3000000000002</v>
      </c>
      <c r="G19" s="171">
        <f t="shared" si="5"/>
        <v>24.999600000000001</v>
      </c>
      <c r="H19" s="171">
        <v>360</v>
      </c>
      <c r="I19" s="268">
        <f>+H19*D19</f>
        <v>360</v>
      </c>
      <c r="J19" s="171">
        <f t="shared" si="2"/>
        <v>0</v>
      </c>
      <c r="K19" s="269">
        <f t="shared" si="6"/>
        <v>0</v>
      </c>
      <c r="L19" s="171">
        <f t="shared" si="7"/>
        <v>0</v>
      </c>
      <c r="M19" s="171">
        <f t="shared" si="8"/>
        <v>0</v>
      </c>
      <c r="N19" s="171">
        <v>0</v>
      </c>
      <c r="O19" s="171">
        <v>0</v>
      </c>
      <c r="P19" s="171">
        <f t="shared" si="3"/>
        <v>0</v>
      </c>
      <c r="Q19" s="171">
        <f t="shared" si="9"/>
        <v>0</v>
      </c>
      <c r="R19" s="171">
        <f t="shared" si="10"/>
        <v>0</v>
      </c>
      <c r="S19" s="171">
        <f t="shared" si="4"/>
        <v>24.999600000000001</v>
      </c>
      <c r="T19" s="272"/>
      <c r="U19" s="272"/>
      <c r="V19" s="272"/>
      <c r="W19" s="270">
        <f t="shared" si="11"/>
        <v>24.999600000000001</v>
      </c>
    </row>
    <row r="20" spans="1:23" s="31" customFormat="1" ht="16.5">
      <c r="A20" s="34"/>
      <c r="B20" s="35" t="s">
        <v>24</v>
      </c>
      <c r="C20" s="36">
        <f>SUM(C12:C19)</f>
        <v>123</v>
      </c>
      <c r="D20" s="36">
        <f>SUM(D12:D19)</f>
        <v>25</v>
      </c>
      <c r="E20" s="272"/>
      <c r="F20" s="272">
        <f>SUM(F12:F19)</f>
        <v>52082.500000000022</v>
      </c>
      <c r="G20" s="272">
        <f>SUM(G12:G19)</f>
        <v>624.9899999999999</v>
      </c>
      <c r="H20" s="272"/>
      <c r="I20" s="272">
        <f>SUM(I12:I19)</f>
        <v>38610</v>
      </c>
      <c r="J20" s="272"/>
      <c r="K20" s="273"/>
      <c r="L20" s="272">
        <f>SUM(L12:L19)</f>
        <v>148050</v>
      </c>
      <c r="M20" s="272">
        <f>SUM(M12:M19)</f>
        <v>1776.6000000000004</v>
      </c>
      <c r="N20" s="272"/>
      <c r="O20" s="272"/>
      <c r="P20" s="272"/>
      <c r="Q20" s="272"/>
      <c r="R20" s="272">
        <f>SUM(R12:R19)</f>
        <v>2015.9999999999998</v>
      </c>
      <c r="S20" s="274">
        <f>(R20+M20+G20)</f>
        <v>4417.59</v>
      </c>
      <c r="T20" s="272">
        <f>SUM(T12:T17)</f>
        <v>0</v>
      </c>
      <c r="U20" s="272">
        <f>SUM(U12:U17)</f>
        <v>0</v>
      </c>
      <c r="V20" s="272">
        <f>SUM(V12:V17)</f>
        <v>0</v>
      </c>
      <c r="W20" s="272">
        <f>SUM(W12:W19)</f>
        <v>4417.59</v>
      </c>
    </row>
    <row r="21" spans="1:23" s="55" customFormat="1">
      <c r="A21" s="119"/>
      <c r="B21" s="120"/>
      <c r="C21" s="121"/>
      <c r="D21" s="121"/>
      <c r="E21" s="121"/>
      <c r="F21" s="121"/>
      <c r="G21" s="299">
        <f>G20</f>
        <v>624.9899999999999</v>
      </c>
      <c r="H21" s="121"/>
      <c r="I21" s="119"/>
      <c r="R21" s="122">
        <f>(R20+M20)</f>
        <v>3792.6000000000004</v>
      </c>
    </row>
    <row r="22" spans="1:23" s="55" customFormat="1">
      <c r="A22" s="119"/>
      <c r="B22" s="120"/>
      <c r="C22" s="121"/>
      <c r="D22" s="121"/>
      <c r="E22" s="121"/>
      <c r="F22" s="121"/>
      <c r="G22" s="121"/>
      <c r="H22" s="121"/>
      <c r="I22" s="119"/>
    </row>
    <row r="24" spans="1:23">
      <c r="A24" s="7" t="s">
        <v>133</v>
      </c>
      <c r="B24" s="7"/>
      <c r="C24" s="7"/>
      <c r="D24" s="7"/>
      <c r="E24" s="7"/>
      <c r="F24" s="7"/>
      <c r="G24" s="7"/>
    </row>
    <row r="25" spans="1:23" ht="14.25">
      <c r="A25" s="341" t="s">
        <v>134</v>
      </c>
      <c r="B25" s="342"/>
      <c r="C25" s="56" t="s">
        <v>135</v>
      </c>
      <c r="D25" s="1" t="s">
        <v>136</v>
      </c>
      <c r="E25" s="1" t="s">
        <v>137</v>
      </c>
      <c r="F25" s="1" t="s">
        <v>138</v>
      </c>
      <c r="G25" s="1" t="s">
        <v>139</v>
      </c>
    </row>
    <row r="26" spans="1:23" ht="36.75" customHeight="1">
      <c r="A26" s="354" t="s">
        <v>184</v>
      </c>
      <c r="B26" s="355"/>
      <c r="C26" s="267">
        <v>13</v>
      </c>
      <c r="D26" s="265">
        <v>52</v>
      </c>
      <c r="E26" s="265"/>
      <c r="F26" s="265">
        <v>58</v>
      </c>
      <c r="G26" s="34">
        <f>SUM(C26:F26)</f>
        <v>123</v>
      </c>
    </row>
    <row r="27" spans="1:23" ht="14.25">
      <c r="A27" s="59" t="s">
        <v>24</v>
      </c>
      <c r="B27" s="56"/>
      <c r="C27" s="60">
        <f>+C26</f>
        <v>13</v>
      </c>
      <c r="D27" s="60">
        <f t="shared" ref="D27:G27" si="12">+D26</f>
        <v>52</v>
      </c>
      <c r="E27" s="60">
        <f t="shared" si="12"/>
        <v>0</v>
      </c>
      <c r="F27" s="60">
        <f t="shared" si="12"/>
        <v>58</v>
      </c>
      <c r="G27" s="60">
        <f t="shared" si="12"/>
        <v>123</v>
      </c>
    </row>
    <row r="31" spans="1:23" ht="69" customHeight="1"/>
  </sheetData>
  <mergeCells count="18">
    <mergeCell ref="A26:B26"/>
    <mergeCell ref="B1:F1"/>
    <mergeCell ref="S9:S10"/>
    <mergeCell ref="Q2:S2"/>
    <mergeCell ref="A9:A10"/>
    <mergeCell ref="B9:B10"/>
    <mergeCell ref="C9:C10"/>
    <mergeCell ref="D9:G9"/>
    <mergeCell ref="A6:W6"/>
    <mergeCell ref="A5:W5"/>
    <mergeCell ref="H9:M9"/>
    <mergeCell ref="N9:R9"/>
    <mergeCell ref="T9:T10"/>
    <mergeCell ref="U9:U10"/>
    <mergeCell ref="V9:V10"/>
    <mergeCell ref="C3:H3"/>
    <mergeCell ref="W9:W10"/>
    <mergeCell ref="A25:B25"/>
  </mergeCells>
  <pageMargins left="0.43307086614173201" right="0.23622047244094499" top="0.59055118110236204" bottom="0.59055118110236204" header="0.31496062992126" footer="0.31496062992126"/>
  <pageSetup paperSize="9" scale="65" orientation="landscape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W32"/>
  <sheetViews>
    <sheetView topLeftCell="G1" zoomScaleNormal="100" workbookViewId="0">
      <selection activeCell="R21" sqref="R21"/>
    </sheetView>
  </sheetViews>
  <sheetFormatPr defaultColWidth="9.7109375" defaultRowHeight="17.25"/>
  <cols>
    <col min="1" max="1" width="4.42578125" style="136" customWidth="1"/>
    <col min="2" max="2" width="24.5703125" style="136" customWidth="1"/>
    <col min="3" max="3" width="6" style="136" customWidth="1"/>
    <col min="4" max="4" width="5.42578125" style="136" customWidth="1"/>
    <col min="5" max="5" width="9" style="136" bestFit="1" customWidth="1"/>
    <col min="6" max="6" width="9.5703125" style="137" customWidth="1"/>
    <col min="7" max="7" width="9.7109375" style="137" customWidth="1"/>
    <col min="8" max="8" width="8.5703125" style="136" customWidth="1"/>
    <col min="9" max="9" width="9" style="137" bestFit="1" customWidth="1"/>
    <col min="10" max="10" width="8.42578125" style="137" bestFit="1" customWidth="1"/>
    <col min="11" max="11" width="8.85546875" style="137" bestFit="1" customWidth="1"/>
    <col min="12" max="12" width="10.140625" style="136" bestFit="1" customWidth="1"/>
    <col min="13" max="13" width="8" style="137" bestFit="1" customWidth="1"/>
    <col min="14" max="15" width="4.42578125" style="137" customWidth="1"/>
    <col min="16" max="16" width="9" style="137" customWidth="1"/>
    <col min="17" max="17" width="9.140625" style="136" customWidth="1"/>
    <col min="18" max="18" width="12.140625" style="136" customWidth="1"/>
    <col min="19" max="19" width="10.28515625" style="136" customWidth="1"/>
    <col min="20" max="21" width="9.140625" style="136" customWidth="1"/>
    <col min="22" max="22" width="6.85546875" style="136" bestFit="1" customWidth="1"/>
    <col min="23" max="243" width="9.140625" style="136" customWidth="1"/>
    <col min="244" max="244" width="4.42578125" style="136" customWidth="1"/>
    <col min="245" max="245" width="24.5703125" style="136" customWidth="1"/>
    <col min="246" max="246" width="6" style="136" customWidth="1"/>
    <col min="247" max="247" width="5.42578125" style="136" customWidth="1"/>
    <col min="248" max="248" width="6.140625" style="136" customWidth="1"/>
    <col min="249" max="249" width="9.5703125" style="136" customWidth="1"/>
    <col min="250" max="16384" width="9.7109375" style="136"/>
  </cols>
  <sheetData>
    <row r="1" spans="1:23" s="7" customFormat="1" ht="23.25" customHeight="1">
      <c r="A1" s="4"/>
      <c r="B1" s="332"/>
      <c r="C1" s="333"/>
      <c r="D1" s="333"/>
      <c r="E1" s="333"/>
      <c r="F1" s="333"/>
      <c r="G1" s="22"/>
      <c r="H1" s="22"/>
      <c r="I1" s="5"/>
      <c r="J1" s="5"/>
      <c r="K1" s="5"/>
      <c r="L1" s="5"/>
      <c r="Q1" s="5"/>
      <c r="R1" s="162" t="s">
        <v>47</v>
      </c>
      <c r="S1" s="22"/>
    </row>
    <row r="2" spans="1:23" s="7" customFormat="1" ht="15" customHeight="1">
      <c r="A2" s="4"/>
      <c r="B2" s="164"/>
      <c r="C2" s="166"/>
      <c r="D2" s="166"/>
      <c r="E2" s="166"/>
      <c r="F2" s="22"/>
      <c r="G2" s="22"/>
      <c r="H2" s="22"/>
      <c r="I2" s="5"/>
      <c r="J2" s="5"/>
      <c r="K2" s="5"/>
      <c r="L2" s="5"/>
      <c r="Q2" s="314" t="s">
        <v>21</v>
      </c>
      <c r="R2" s="314"/>
      <c r="S2" s="314"/>
    </row>
    <row r="3" spans="1:23" s="7" customFormat="1" ht="38.25" customHeight="1" thickBot="1">
      <c r="B3" s="9" t="s">
        <v>65</v>
      </c>
      <c r="C3" s="353" t="s">
        <v>185</v>
      </c>
      <c r="D3" s="353"/>
      <c r="E3" s="353"/>
      <c r="F3" s="353"/>
      <c r="G3" s="353"/>
      <c r="H3" s="353"/>
      <c r="I3" s="5"/>
      <c r="J3" s="5"/>
      <c r="K3" s="5"/>
      <c r="L3" s="5"/>
    </row>
    <row r="4" spans="1:23" s="7" customFormat="1" ht="12.75" customHeight="1">
      <c r="A4" s="4"/>
      <c r="B4" s="22"/>
      <c r="C4" s="22"/>
      <c r="D4" s="25"/>
      <c r="E4" s="25"/>
      <c r="F4" s="22"/>
      <c r="G4" s="22"/>
      <c r="H4" s="22"/>
      <c r="I4" s="26"/>
      <c r="J4" s="5"/>
      <c r="K4" s="5"/>
      <c r="L4" s="5"/>
      <c r="M4" s="5"/>
      <c r="Q4" s="5"/>
      <c r="R4" s="5"/>
      <c r="S4" s="5"/>
    </row>
    <row r="5" spans="1:23" s="14" customFormat="1" ht="15" customHeight="1">
      <c r="A5" s="337" t="s">
        <v>22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</row>
    <row r="6" spans="1:23" s="14" customFormat="1" ht="15" customHeight="1">
      <c r="A6" s="337" t="s">
        <v>212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</row>
    <row r="7" spans="1:23" s="14" customFormat="1" ht="9.75" customHeight="1">
      <c r="A7" s="6"/>
      <c r="B7" s="29"/>
      <c r="C7" s="29"/>
      <c r="D7" s="29"/>
      <c r="E7" s="29"/>
      <c r="F7" s="29"/>
      <c r="G7" s="29"/>
      <c r="H7" s="29"/>
      <c r="I7" s="6"/>
      <c r="J7" s="6"/>
      <c r="K7" s="6"/>
      <c r="L7" s="6"/>
      <c r="O7" s="6"/>
      <c r="P7" s="6"/>
      <c r="Q7" s="6"/>
      <c r="R7" s="6"/>
      <c r="S7" s="6"/>
    </row>
    <row r="8" spans="1:23" s="7" customFormat="1" ht="13.5">
      <c r="A8" s="5"/>
      <c r="B8" s="30"/>
      <c r="C8" s="25"/>
      <c r="D8" s="25"/>
      <c r="E8" s="25"/>
      <c r="F8" s="25"/>
      <c r="G8" s="25"/>
      <c r="H8" s="25"/>
      <c r="I8" s="5"/>
    </row>
    <row r="9" spans="1:23" s="31" customFormat="1" ht="12.75" customHeight="1">
      <c r="A9" s="343" t="s">
        <v>0</v>
      </c>
      <c r="B9" s="343" t="s">
        <v>54</v>
      </c>
      <c r="C9" s="343" t="s">
        <v>55</v>
      </c>
      <c r="D9" s="345" t="s">
        <v>56</v>
      </c>
      <c r="E9" s="346"/>
      <c r="F9" s="346"/>
      <c r="G9" s="347"/>
      <c r="H9" s="345" t="s">
        <v>57</v>
      </c>
      <c r="I9" s="346"/>
      <c r="J9" s="346"/>
      <c r="K9" s="346"/>
      <c r="L9" s="346"/>
      <c r="M9" s="347"/>
      <c r="N9" s="345" t="s">
        <v>58</v>
      </c>
      <c r="O9" s="346"/>
      <c r="P9" s="346"/>
      <c r="Q9" s="346"/>
      <c r="R9" s="347"/>
      <c r="S9" s="343" t="s">
        <v>118</v>
      </c>
      <c r="T9" s="343" t="s">
        <v>119</v>
      </c>
      <c r="U9" s="343" t="s">
        <v>120</v>
      </c>
      <c r="V9" s="343" t="s">
        <v>121</v>
      </c>
      <c r="W9" s="343" t="s">
        <v>122</v>
      </c>
    </row>
    <row r="10" spans="1:23" s="32" customFormat="1" ht="102">
      <c r="A10" s="344"/>
      <c r="B10" s="344"/>
      <c r="C10" s="344"/>
      <c r="D10" s="53" t="s">
        <v>59</v>
      </c>
      <c r="E10" s="53" t="s">
        <v>60</v>
      </c>
      <c r="F10" s="53" t="s">
        <v>123</v>
      </c>
      <c r="G10" s="53" t="s">
        <v>214</v>
      </c>
      <c r="H10" s="53" t="s">
        <v>61</v>
      </c>
      <c r="I10" s="53" t="s">
        <v>132</v>
      </c>
      <c r="J10" s="53" t="s">
        <v>124</v>
      </c>
      <c r="K10" s="53" t="s">
        <v>131</v>
      </c>
      <c r="L10" s="53" t="s">
        <v>130</v>
      </c>
      <c r="M10" s="53" t="s">
        <v>217</v>
      </c>
      <c r="N10" s="53" t="s">
        <v>63</v>
      </c>
      <c r="O10" s="53" t="s">
        <v>64</v>
      </c>
      <c r="P10" s="53" t="s">
        <v>129</v>
      </c>
      <c r="Q10" s="54" t="s">
        <v>125</v>
      </c>
      <c r="R10" s="53" t="s">
        <v>215</v>
      </c>
      <c r="S10" s="344"/>
      <c r="T10" s="344"/>
      <c r="U10" s="344"/>
      <c r="V10" s="344"/>
      <c r="W10" s="344"/>
    </row>
    <row r="11" spans="1:23" s="31" customFormat="1" ht="13.5">
      <c r="A11" s="163" t="s">
        <v>117</v>
      </c>
      <c r="B11" s="163" t="s">
        <v>2</v>
      </c>
      <c r="C11" s="163" t="s">
        <v>3</v>
      </c>
      <c r="D11" s="163" t="s">
        <v>4</v>
      </c>
      <c r="E11" s="163" t="s">
        <v>19</v>
      </c>
      <c r="F11" s="163" t="s">
        <v>18</v>
      </c>
      <c r="G11" s="163" t="s">
        <v>17</v>
      </c>
      <c r="H11" s="163" t="s">
        <v>16</v>
      </c>
      <c r="I11" s="163" t="s">
        <v>5</v>
      </c>
      <c r="J11" s="163" t="s">
        <v>6</v>
      </c>
      <c r="K11" s="163" t="s">
        <v>15</v>
      </c>
      <c r="L11" s="163" t="s">
        <v>20</v>
      </c>
      <c r="M11" s="163" t="s">
        <v>126</v>
      </c>
      <c r="N11" s="163" t="s">
        <v>0</v>
      </c>
      <c r="O11" s="163" t="s">
        <v>14</v>
      </c>
      <c r="P11" s="163" t="s">
        <v>127</v>
      </c>
      <c r="Q11" s="163" t="s">
        <v>7</v>
      </c>
      <c r="R11" s="163" t="s">
        <v>8</v>
      </c>
      <c r="S11" s="163" t="s">
        <v>9</v>
      </c>
      <c r="T11" s="163" t="s">
        <v>10</v>
      </c>
      <c r="U11" s="163" t="s">
        <v>11</v>
      </c>
      <c r="V11" s="163" t="s">
        <v>13</v>
      </c>
      <c r="W11" s="163" t="s">
        <v>128</v>
      </c>
    </row>
    <row r="12" spans="1:23" s="31" customFormat="1" ht="13.5">
      <c r="A12" s="293">
        <v>1</v>
      </c>
      <c r="B12" s="1" t="s">
        <v>66</v>
      </c>
      <c r="C12" s="118">
        <v>1</v>
      </c>
      <c r="D12" s="80">
        <v>1</v>
      </c>
      <c r="E12" s="171">
        <v>2083.3000000000002</v>
      </c>
      <c r="F12" s="171">
        <f t="shared" ref="F12:F17" si="0">D12*E12</f>
        <v>2083.3000000000002</v>
      </c>
      <c r="G12" s="171">
        <f>F12*12/1000</f>
        <v>24.999600000000001</v>
      </c>
      <c r="H12" s="171">
        <v>2250</v>
      </c>
      <c r="I12" s="268">
        <f t="shared" ref="I12:I19" si="1">H12*C12</f>
        <v>2250</v>
      </c>
      <c r="J12" s="171">
        <f t="shared" ref="J12:J19" si="2">I12-D12*360</f>
        <v>1890</v>
      </c>
      <c r="K12" s="269">
        <f>+J12*5</f>
        <v>9450</v>
      </c>
      <c r="L12" s="171">
        <f>+K12</f>
        <v>9450</v>
      </c>
      <c r="M12" s="171">
        <f>L12*12/1000</f>
        <v>113.4</v>
      </c>
      <c r="N12" s="171">
        <v>8</v>
      </c>
      <c r="O12" s="171">
        <v>0</v>
      </c>
      <c r="P12" s="171">
        <f t="shared" ref="P12:P19" si="3">(N12+O12)*1000*C12</f>
        <v>8000</v>
      </c>
      <c r="Q12" s="171">
        <f t="shared" ref="Q12:Q19" si="4">P12*20%</f>
        <v>1600</v>
      </c>
      <c r="R12" s="171">
        <f>(P12+Q12)*12/1000</f>
        <v>115.2</v>
      </c>
      <c r="S12" s="171">
        <f t="shared" ref="S12:S19" si="5">G12+M12+R12</f>
        <v>253.59960000000001</v>
      </c>
      <c r="T12" s="270"/>
      <c r="U12" s="270"/>
      <c r="V12" s="270"/>
      <c r="W12" s="270">
        <f>+(S12+T12+U12+V12)</f>
        <v>253.59960000000001</v>
      </c>
    </row>
    <row r="13" spans="1:23" s="31" customFormat="1" ht="13.5">
      <c r="A13" s="293">
        <v>2</v>
      </c>
      <c r="B13" s="1" t="s">
        <v>67</v>
      </c>
      <c r="C13" s="118">
        <v>14</v>
      </c>
      <c r="D13" s="80">
        <v>14</v>
      </c>
      <c r="E13" s="171">
        <v>2083.3000000000002</v>
      </c>
      <c r="F13" s="171">
        <f t="shared" si="0"/>
        <v>29166.200000000004</v>
      </c>
      <c r="G13" s="171">
        <f t="shared" ref="G13:G19" si="6">F13*12/1000</f>
        <v>349.99440000000004</v>
      </c>
      <c r="H13" s="171">
        <v>1500</v>
      </c>
      <c r="I13" s="268">
        <f t="shared" si="1"/>
        <v>21000</v>
      </c>
      <c r="J13" s="171">
        <f t="shared" si="2"/>
        <v>15960</v>
      </c>
      <c r="K13" s="269">
        <f t="shared" ref="K13:K19" si="7">+J13*5</f>
        <v>79800</v>
      </c>
      <c r="L13" s="171">
        <f t="shared" ref="L13:L19" si="8">+K13</f>
        <v>79800</v>
      </c>
      <c r="M13" s="171">
        <f t="shared" ref="M13:M19" si="9">L13*12/1000</f>
        <v>957.6</v>
      </c>
      <c r="N13" s="171">
        <v>6</v>
      </c>
      <c r="O13" s="171">
        <v>0</v>
      </c>
      <c r="P13" s="171">
        <f t="shared" si="3"/>
        <v>84000</v>
      </c>
      <c r="Q13" s="171">
        <f t="shared" si="4"/>
        <v>16800</v>
      </c>
      <c r="R13" s="171">
        <f t="shared" ref="R13:R19" si="10">(P13+Q13)*12/1000</f>
        <v>1209.5999999999999</v>
      </c>
      <c r="S13" s="171">
        <f t="shared" si="5"/>
        <v>2517.1943999999999</v>
      </c>
      <c r="T13" s="270"/>
      <c r="U13" s="270"/>
      <c r="V13" s="270"/>
      <c r="W13" s="270">
        <f t="shared" ref="W13:W19" si="11">+(S13+T13+U13+V13)</f>
        <v>2517.1943999999999</v>
      </c>
    </row>
    <row r="14" spans="1:23" s="31" customFormat="1" ht="13.5">
      <c r="A14" s="293">
        <v>3</v>
      </c>
      <c r="B14" s="1" t="s">
        <v>68</v>
      </c>
      <c r="C14" s="118">
        <v>1</v>
      </c>
      <c r="D14" s="80">
        <v>1</v>
      </c>
      <c r="E14" s="171">
        <v>2083.3000000000002</v>
      </c>
      <c r="F14" s="171">
        <f t="shared" si="0"/>
        <v>2083.3000000000002</v>
      </c>
      <c r="G14" s="171">
        <f t="shared" si="6"/>
        <v>24.999600000000001</v>
      </c>
      <c r="H14" s="171">
        <v>1750</v>
      </c>
      <c r="I14" s="268">
        <f t="shared" si="1"/>
        <v>1750</v>
      </c>
      <c r="J14" s="171">
        <f t="shared" si="2"/>
        <v>1390</v>
      </c>
      <c r="K14" s="269">
        <f t="shared" si="7"/>
        <v>6950</v>
      </c>
      <c r="L14" s="171">
        <f t="shared" si="8"/>
        <v>6950</v>
      </c>
      <c r="M14" s="171">
        <f t="shared" si="9"/>
        <v>83.4</v>
      </c>
      <c r="N14" s="171">
        <v>4</v>
      </c>
      <c r="O14" s="171">
        <v>0</v>
      </c>
      <c r="P14" s="171">
        <f t="shared" si="3"/>
        <v>4000</v>
      </c>
      <c r="Q14" s="171">
        <f t="shared" si="4"/>
        <v>800</v>
      </c>
      <c r="R14" s="171">
        <f t="shared" si="10"/>
        <v>57.6</v>
      </c>
      <c r="S14" s="171">
        <f t="shared" si="5"/>
        <v>165.99960000000002</v>
      </c>
      <c r="T14" s="270"/>
      <c r="U14" s="270"/>
      <c r="V14" s="270"/>
      <c r="W14" s="270">
        <f t="shared" si="11"/>
        <v>165.99960000000002</v>
      </c>
    </row>
    <row r="15" spans="1:23" s="31" customFormat="1" ht="13.5">
      <c r="A15" s="293">
        <v>4</v>
      </c>
      <c r="B15" s="1" t="s">
        <v>69</v>
      </c>
      <c r="C15" s="118">
        <v>1</v>
      </c>
      <c r="D15" s="80">
        <v>1</v>
      </c>
      <c r="E15" s="171">
        <v>2083.3000000000002</v>
      </c>
      <c r="F15" s="171">
        <f t="shared" si="0"/>
        <v>2083.3000000000002</v>
      </c>
      <c r="G15" s="171">
        <f t="shared" si="6"/>
        <v>24.999600000000001</v>
      </c>
      <c r="H15" s="171">
        <v>1750</v>
      </c>
      <c r="I15" s="268">
        <f t="shared" si="1"/>
        <v>1750</v>
      </c>
      <c r="J15" s="171">
        <f t="shared" si="2"/>
        <v>1390</v>
      </c>
      <c r="K15" s="269">
        <f t="shared" si="7"/>
        <v>6950</v>
      </c>
      <c r="L15" s="171">
        <f t="shared" si="8"/>
        <v>6950</v>
      </c>
      <c r="M15" s="171">
        <f t="shared" si="9"/>
        <v>83.4</v>
      </c>
      <c r="N15" s="171">
        <v>5</v>
      </c>
      <c r="O15" s="171">
        <v>0</v>
      </c>
      <c r="P15" s="171">
        <f t="shared" si="3"/>
        <v>5000</v>
      </c>
      <c r="Q15" s="171">
        <f t="shared" si="4"/>
        <v>1000</v>
      </c>
      <c r="R15" s="171">
        <f t="shared" si="10"/>
        <v>72</v>
      </c>
      <c r="S15" s="171">
        <f t="shared" si="5"/>
        <v>180.39960000000002</v>
      </c>
      <c r="T15" s="270"/>
      <c r="U15" s="270"/>
      <c r="V15" s="270"/>
      <c r="W15" s="270">
        <f t="shared" si="11"/>
        <v>180.39960000000002</v>
      </c>
    </row>
    <row r="16" spans="1:23" s="31" customFormat="1" ht="13.5">
      <c r="A16" s="293">
        <v>5</v>
      </c>
      <c r="B16" s="1" t="s">
        <v>70</v>
      </c>
      <c r="C16" s="118">
        <v>1</v>
      </c>
      <c r="D16" s="80">
        <v>1</v>
      </c>
      <c r="E16" s="171">
        <v>2083.3000000000002</v>
      </c>
      <c r="F16" s="171">
        <f t="shared" si="0"/>
        <v>2083.3000000000002</v>
      </c>
      <c r="G16" s="171">
        <f t="shared" si="6"/>
        <v>24.999600000000001</v>
      </c>
      <c r="H16" s="171">
        <v>1250</v>
      </c>
      <c r="I16" s="268">
        <f t="shared" si="1"/>
        <v>1250</v>
      </c>
      <c r="J16" s="171">
        <f t="shared" si="2"/>
        <v>890</v>
      </c>
      <c r="K16" s="269">
        <f t="shared" si="7"/>
        <v>4450</v>
      </c>
      <c r="L16" s="171">
        <f t="shared" si="8"/>
        <v>4450</v>
      </c>
      <c r="M16" s="171">
        <f t="shared" si="9"/>
        <v>53.4</v>
      </c>
      <c r="N16" s="171">
        <v>2</v>
      </c>
      <c r="O16" s="171">
        <v>0</v>
      </c>
      <c r="P16" s="171">
        <f t="shared" si="3"/>
        <v>2000</v>
      </c>
      <c r="Q16" s="171">
        <f t="shared" si="4"/>
        <v>400</v>
      </c>
      <c r="R16" s="171">
        <f t="shared" si="10"/>
        <v>28.8</v>
      </c>
      <c r="S16" s="171">
        <f t="shared" si="5"/>
        <v>107.19959999999999</v>
      </c>
      <c r="T16" s="270"/>
      <c r="U16" s="270"/>
      <c r="V16" s="270"/>
      <c r="W16" s="270">
        <f t="shared" si="11"/>
        <v>107.19959999999999</v>
      </c>
    </row>
    <row r="17" spans="1:23" s="31" customFormat="1" ht="27">
      <c r="A17" s="293">
        <v>6</v>
      </c>
      <c r="B17" s="33" t="s">
        <v>71</v>
      </c>
      <c r="C17" s="118">
        <v>3</v>
      </c>
      <c r="D17" s="80">
        <v>3</v>
      </c>
      <c r="E17" s="171">
        <v>2083.3000000000002</v>
      </c>
      <c r="F17" s="171">
        <f t="shared" si="0"/>
        <v>6249.9000000000005</v>
      </c>
      <c r="G17" s="171">
        <f t="shared" si="6"/>
        <v>74.998800000000003</v>
      </c>
      <c r="H17" s="171">
        <v>1750</v>
      </c>
      <c r="I17" s="268">
        <f t="shared" si="1"/>
        <v>5250</v>
      </c>
      <c r="J17" s="171">
        <f t="shared" si="2"/>
        <v>4170</v>
      </c>
      <c r="K17" s="269">
        <f t="shared" si="7"/>
        <v>20850</v>
      </c>
      <c r="L17" s="171">
        <f t="shared" si="8"/>
        <v>20850</v>
      </c>
      <c r="M17" s="171">
        <f t="shared" si="9"/>
        <v>250.2</v>
      </c>
      <c r="N17" s="171">
        <v>3</v>
      </c>
      <c r="O17" s="171">
        <v>0</v>
      </c>
      <c r="P17" s="171">
        <f t="shared" si="3"/>
        <v>9000</v>
      </c>
      <c r="Q17" s="171">
        <f t="shared" si="4"/>
        <v>1800</v>
      </c>
      <c r="R17" s="171">
        <f t="shared" si="10"/>
        <v>129.6</v>
      </c>
      <c r="S17" s="171">
        <f t="shared" si="5"/>
        <v>454.79880000000003</v>
      </c>
      <c r="T17" s="270"/>
      <c r="U17" s="270"/>
      <c r="V17" s="270"/>
      <c r="W17" s="270">
        <f t="shared" si="11"/>
        <v>454.79880000000003</v>
      </c>
    </row>
    <row r="18" spans="1:23" s="31" customFormat="1" ht="13.5">
      <c r="A18" s="293">
        <v>7</v>
      </c>
      <c r="B18" s="1" t="s">
        <v>72</v>
      </c>
      <c r="C18" s="118">
        <v>44</v>
      </c>
      <c r="D18" s="80">
        <v>1</v>
      </c>
      <c r="E18" s="171">
        <v>2083.3000000000002</v>
      </c>
      <c r="F18" s="171">
        <f>D18*E18</f>
        <v>2083.3000000000002</v>
      </c>
      <c r="G18" s="171">
        <f t="shared" si="6"/>
        <v>24.999600000000001</v>
      </c>
      <c r="H18" s="171">
        <v>360</v>
      </c>
      <c r="I18" s="268">
        <f>H18*D18</f>
        <v>360</v>
      </c>
      <c r="J18" s="171">
        <f>I18-D18*360</f>
        <v>0</v>
      </c>
      <c r="K18" s="269">
        <f t="shared" si="7"/>
        <v>0</v>
      </c>
      <c r="L18" s="171">
        <f t="shared" si="8"/>
        <v>0</v>
      </c>
      <c r="M18" s="171">
        <f t="shared" si="9"/>
        <v>0</v>
      </c>
      <c r="N18" s="171">
        <v>0</v>
      </c>
      <c r="O18" s="171">
        <v>0</v>
      </c>
      <c r="P18" s="171">
        <f t="shared" si="3"/>
        <v>0</v>
      </c>
      <c r="Q18" s="171">
        <f t="shared" si="4"/>
        <v>0</v>
      </c>
      <c r="R18" s="171">
        <f t="shared" si="10"/>
        <v>0</v>
      </c>
      <c r="S18" s="171">
        <f t="shared" si="5"/>
        <v>24.999600000000001</v>
      </c>
      <c r="T18" s="271"/>
      <c r="U18" s="271"/>
      <c r="V18" s="271"/>
      <c r="W18" s="270">
        <f t="shared" si="11"/>
        <v>24.999600000000001</v>
      </c>
    </row>
    <row r="19" spans="1:23" s="31" customFormat="1" ht="14.25">
      <c r="A19" s="293">
        <v>8</v>
      </c>
      <c r="B19" s="33" t="s">
        <v>73</v>
      </c>
      <c r="C19" s="118">
        <v>35</v>
      </c>
      <c r="D19" s="80">
        <v>3</v>
      </c>
      <c r="E19" s="171">
        <v>2083.3000000000002</v>
      </c>
      <c r="F19" s="171">
        <f>D19*E19</f>
        <v>6249.9000000000005</v>
      </c>
      <c r="G19" s="171">
        <f t="shared" si="6"/>
        <v>74.998800000000003</v>
      </c>
      <c r="H19" s="171">
        <v>100</v>
      </c>
      <c r="I19" s="268">
        <f t="shared" si="1"/>
        <v>3500</v>
      </c>
      <c r="J19" s="171">
        <f t="shared" si="2"/>
        <v>2420</v>
      </c>
      <c r="K19" s="269">
        <f t="shared" si="7"/>
        <v>12100</v>
      </c>
      <c r="L19" s="171">
        <f t="shared" si="8"/>
        <v>12100</v>
      </c>
      <c r="M19" s="171">
        <f t="shared" si="9"/>
        <v>145.19999999999999</v>
      </c>
      <c r="N19" s="171">
        <v>0.5</v>
      </c>
      <c r="O19" s="171">
        <v>0</v>
      </c>
      <c r="P19" s="171">
        <f t="shared" si="3"/>
        <v>17500</v>
      </c>
      <c r="Q19" s="171">
        <f t="shared" si="4"/>
        <v>3500</v>
      </c>
      <c r="R19" s="171">
        <f t="shared" si="10"/>
        <v>252</v>
      </c>
      <c r="S19" s="171">
        <f t="shared" si="5"/>
        <v>472.19880000000001</v>
      </c>
      <c r="T19" s="280"/>
      <c r="U19" s="280"/>
      <c r="V19" s="280"/>
      <c r="W19" s="270">
        <f t="shared" si="11"/>
        <v>472.19880000000001</v>
      </c>
    </row>
    <row r="20" spans="1:23" s="31" customFormat="1" ht="16.5">
      <c r="A20" s="34"/>
      <c r="B20" s="35" t="s">
        <v>24</v>
      </c>
      <c r="C20" s="36">
        <f>SUM(C12:C19)</f>
        <v>100</v>
      </c>
      <c r="D20" s="36">
        <f>SUM(D12:D19)</f>
        <v>25</v>
      </c>
      <c r="E20" s="272"/>
      <c r="F20" s="272">
        <f>SUM(F12:F19)</f>
        <v>52082.500000000015</v>
      </c>
      <c r="G20" s="272">
        <f>SUM(G12:G19)</f>
        <v>624.9899999999999</v>
      </c>
      <c r="H20" s="272"/>
      <c r="I20" s="272">
        <f>SUM(I12:I19)</f>
        <v>37110</v>
      </c>
      <c r="J20" s="272"/>
      <c r="K20" s="273"/>
      <c r="L20" s="272">
        <f>SUM(L12:L19)</f>
        <v>140550</v>
      </c>
      <c r="M20" s="272">
        <f>SUM(M12:M19)</f>
        <v>1686.6000000000004</v>
      </c>
      <c r="N20" s="272"/>
      <c r="O20" s="272"/>
      <c r="P20" s="272"/>
      <c r="Q20" s="272"/>
      <c r="R20" s="272">
        <f>SUM(R12:R19)</f>
        <v>1864.7999999999997</v>
      </c>
      <c r="S20" s="274">
        <f>(R20+M20+G20)</f>
        <v>4176.3900000000003</v>
      </c>
      <c r="T20" s="272">
        <f>SUM(T11:T17)</f>
        <v>0</v>
      </c>
      <c r="U20" s="272">
        <f>SUM(U11:U17)</f>
        <v>0</v>
      </c>
      <c r="V20" s="272">
        <f>SUM(V11:V17)</f>
        <v>0</v>
      </c>
      <c r="W20" s="272">
        <f>SUM(W11:W19)</f>
        <v>4176.3900000000003</v>
      </c>
    </row>
    <row r="21" spans="1:23" s="55" customFormat="1" ht="13.5">
      <c r="A21" s="119"/>
      <c r="B21" s="120"/>
      <c r="C21" s="121"/>
      <c r="D21" s="121"/>
      <c r="E21" s="121"/>
      <c r="F21" s="121"/>
      <c r="G21" s="298">
        <f>G20</f>
        <v>624.9899999999999</v>
      </c>
      <c r="H21" s="121"/>
      <c r="I21" s="119"/>
      <c r="R21" s="122">
        <f>(R20+M20)</f>
        <v>3551.4</v>
      </c>
    </row>
    <row r="23" spans="1:23">
      <c r="B23" s="7" t="s">
        <v>133</v>
      </c>
      <c r="C23" s="7"/>
      <c r="D23" s="7"/>
      <c r="E23" s="7"/>
      <c r="F23" s="7"/>
      <c r="G23" s="7"/>
      <c r="H23" s="7"/>
    </row>
    <row r="24" spans="1:23">
      <c r="B24" s="341" t="s">
        <v>134</v>
      </c>
      <c r="C24" s="342"/>
      <c r="D24" s="56" t="s">
        <v>135</v>
      </c>
      <c r="E24" s="1" t="s">
        <v>136</v>
      </c>
      <c r="F24" s="1" t="s">
        <v>137</v>
      </c>
      <c r="G24" s="1" t="s">
        <v>138</v>
      </c>
      <c r="H24" s="1" t="s">
        <v>139</v>
      </c>
    </row>
    <row r="25" spans="1:23" ht="45" customHeight="1">
      <c r="B25" s="354" t="s">
        <v>211</v>
      </c>
      <c r="C25" s="355"/>
      <c r="D25" s="267">
        <v>14</v>
      </c>
      <c r="E25" s="265">
        <v>52</v>
      </c>
      <c r="F25" s="265"/>
      <c r="G25" s="265">
        <v>34</v>
      </c>
      <c r="H25" s="34">
        <f>SUM(D25:G25)</f>
        <v>100</v>
      </c>
    </row>
    <row r="26" spans="1:23">
      <c r="B26" s="59" t="s">
        <v>24</v>
      </c>
      <c r="C26" s="56"/>
      <c r="D26" s="60">
        <f>+D25</f>
        <v>14</v>
      </c>
      <c r="E26" s="60">
        <f t="shared" ref="E26:H26" si="12">+E25</f>
        <v>52</v>
      </c>
      <c r="F26" s="60">
        <f t="shared" si="12"/>
        <v>0</v>
      </c>
      <c r="G26" s="60">
        <f t="shared" si="12"/>
        <v>34</v>
      </c>
      <c r="H26" s="60">
        <f t="shared" si="12"/>
        <v>100</v>
      </c>
    </row>
    <row r="32" spans="1:23" ht="69" customHeight="1"/>
  </sheetData>
  <mergeCells count="18">
    <mergeCell ref="B1:F1"/>
    <mergeCell ref="A6:W6"/>
    <mergeCell ref="A5:W5"/>
    <mergeCell ref="T9:T10"/>
    <mergeCell ref="U9:U10"/>
    <mergeCell ref="V9:V10"/>
    <mergeCell ref="W9:W10"/>
    <mergeCell ref="A9:A10"/>
    <mergeCell ref="B9:B10"/>
    <mergeCell ref="C9:C10"/>
    <mergeCell ref="D9:G9"/>
    <mergeCell ref="H9:M9"/>
    <mergeCell ref="C3:H3"/>
    <mergeCell ref="B25:C25"/>
    <mergeCell ref="B24:C24"/>
    <mergeCell ref="N9:R9"/>
    <mergeCell ref="S9:S10"/>
    <mergeCell ref="Q2:S2"/>
  </mergeCells>
  <pageMargins left="0.4" right="0.32" top="0.98425196850393704" bottom="0.98425196850393704" header="0.511811023622047" footer="0.511811023622047"/>
  <pageSetup scale="63" orientation="landscape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W32"/>
  <sheetViews>
    <sheetView zoomScaleNormal="100" workbookViewId="0">
      <selection activeCell="G29" sqref="G29"/>
    </sheetView>
  </sheetViews>
  <sheetFormatPr defaultColWidth="8.42578125" defaultRowHeight="13.5"/>
  <cols>
    <col min="1" max="1" width="3.5703125" style="55" customWidth="1"/>
    <col min="2" max="2" width="20.85546875" style="55" customWidth="1"/>
    <col min="3" max="4" width="7.7109375" style="55" customWidth="1"/>
    <col min="5" max="5" width="8.140625" style="55" customWidth="1"/>
    <col min="6" max="6" width="8.85546875" style="55" customWidth="1"/>
    <col min="7" max="7" width="11" style="55" customWidth="1"/>
    <col min="8" max="8" width="8.42578125" style="55" customWidth="1"/>
    <col min="9" max="9" width="9.140625" style="55" bestFit="1" customWidth="1"/>
    <col min="10" max="10" width="8.42578125" style="55" customWidth="1"/>
    <col min="11" max="11" width="11" style="55" customWidth="1"/>
    <col min="12" max="12" width="10.140625" style="55" bestFit="1" customWidth="1"/>
    <col min="13" max="13" width="10" style="55" customWidth="1"/>
    <col min="14" max="15" width="5.85546875" style="55" customWidth="1"/>
    <col min="16" max="16" width="10.5703125" style="55" customWidth="1"/>
    <col min="17" max="17" width="8.28515625" style="55" bestFit="1" customWidth="1"/>
    <col min="18" max="18" width="14.140625" style="55" customWidth="1"/>
    <col min="19" max="19" width="12" style="55" customWidth="1"/>
    <col min="20" max="242" width="9.140625" style="55" customWidth="1"/>
    <col min="243" max="243" width="3.5703125" style="55" customWidth="1"/>
    <col min="244" max="244" width="20.85546875" style="55" customWidth="1"/>
    <col min="245" max="246" width="7.7109375" style="55" customWidth="1"/>
    <col min="247" max="247" width="8.140625" style="55" customWidth="1"/>
    <col min="248" max="248" width="8.85546875" style="55" customWidth="1"/>
    <col min="249" max="249" width="11" style="55" customWidth="1"/>
    <col min="250" max="16384" width="8.42578125" style="55"/>
  </cols>
  <sheetData>
    <row r="1" spans="1:23" s="7" customFormat="1" ht="23.25" customHeight="1">
      <c r="A1" s="4"/>
      <c r="B1" s="332"/>
      <c r="C1" s="333"/>
      <c r="D1" s="333"/>
      <c r="E1" s="333"/>
      <c r="F1" s="333"/>
      <c r="G1" s="22"/>
      <c r="H1" s="22"/>
      <c r="I1" s="5"/>
      <c r="J1" s="5"/>
      <c r="K1" s="5"/>
      <c r="L1" s="5"/>
      <c r="Q1" s="5"/>
      <c r="R1" s="162" t="s">
        <v>47</v>
      </c>
      <c r="S1" s="22"/>
    </row>
    <row r="2" spans="1:23" s="7" customFormat="1" ht="15" customHeight="1">
      <c r="A2" s="4"/>
      <c r="B2" s="164"/>
      <c r="C2" s="166"/>
      <c r="D2" s="166"/>
      <c r="E2" s="166"/>
      <c r="F2" s="22"/>
      <c r="G2" s="22"/>
      <c r="H2" s="22"/>
      <c r="I2" s="5"/>
      <c r="J2" s="5"/>
      <c r="K2" s="5"/>
      <c r="L2" s="5"/>
      <c r="Q2" s="314" t="s">
        <v>21</v>
      </c>
      <c r="R2" s="314"/>
      <c r="S2" s="314"/>
    </row>
    <row r="3" spans="1:23" s="7" customFormat="1" ht="41.25" customHeight="1" thickBot="1">
      <c r="B3" s="9" t="s">
        <v>65</v>
      </c>
      <c r="C3" s="353" t="s">
        <v>186</v>
      </c>
      <c r="D3" s="353"/>
      <c r="E3" s="353"/>
      <c r="F3" s="353"/>
      <c r="G3" s="353"/>
      <c r="H3" s="353"/>
      <c r="I3" s="5"/>
      <c r="J3" s="5"/>
      <c r="K3" s="5"/>
      <c r="L3" s="5"/>
    </row>
    <row r="4" spans="1:23" s="7" customFormat="1">
      <c r="A4" s="4"/>
      <c r="B4" s="22"/>
      <c r="C4" s="22"/>
      <c r="D4" s="25"/>
      <c r="E4" s="25"/>
      <c r="F4" s="22"/>
      <c r="G4" s="22"/>
      <c r="H4" s="22"/>
      <c r="I4" s="26"/>
      <c r="J4" s="5"/>
      <c r="K4" s="5"/>
      <c r="L4" s="5"/>
      <c r="M4" s="5"/>
    </row>
    <row r="5" spans="1:23" s="14" customFormat="1" ht="15" customHeight="1">
      <c r="A5" s="337" t="s">
        <v>22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</row>
    <row r="6" spans="1:23" s="14" customFormat="1" ht="15" customHeight="1">
      <c r="A6" s="337" t="s">
        <v>212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</row>
    <row r="7" spans="1:23" s="14" customFormat="1" ht="12.75">
      <c r="A7" s="6"/>
      <c r="B7" s="29"/>
      <c r="C7" s="29"/>
      <c r="D7" s="29"/>
      <c r="E7" s="29"/>
      <c r="F7" s="29"/>
      <c r="G7" s="29"/>
      <c r="H7" s="29"/>
      <c r="I7" s="6"/>
      <c r="J7" s="6"/>
      <c r="K7" s="6"/>
      <c r="L7" s="6"/>
      <c r="O7" s="6"/>
      <c r="P7" s="6"/>
      <c r="Q7" s="6"/>
    </row>
    <row r="8" spans="1:23" s="7" customFormat="1">
      <c r="A8" s="5"/>
      <c r="B8" s="30"/>
      <c r="C8" s="25"/>
      <c r="D8" s="25"/>
      <c r="E8" s="25"/>
      <c r="F8" s="25"/>
      <c r="G8" s="25"/>
      <c r="H8" s="25"/>
      <c r="I8" s="5"/>
    </row>
    <row r="9" spans="1:23" s="31" customFormat="1" ht="12.75" customHeight="1">
      <c r="A9" s="343" t="s">
        <v>0</v>
      </c>
      <c r="B9" s="343" t="s">
        <v>54</v>
      </c>
      <c r="C9" s="343" t="s">
        <v>55</v>
      </c>
      <c r="D9" s="345" t="s">
        <v>56</v>
      </c>
      <c r="E9" s="346"/>
      <c r="F9" s="346"/>
      <c r="G9" s="347"/>
      <c r="H9" s="345" t="s">
        <v>57</v>
      </c>
      <c r="I9" s="346"/>
      <c r="J9" s="346"/>
      <c r="K9" s="346"/>
      <c r="L9" s="346"/>
      <c r="M9" s="347"/>
      <c r="N9" s="345" t="s">
        <v>58</v>
      </c>
      <c r="O9" s="346"/>
      <c r="P9" s="346"/>
      <c r="Q9" s="346"/>
      <c r="R9" s="347"/>
      <c r="S9" s="343" t="s">
        <v>118</v>
      </c>
      <c r="T9" s="343" t="s">
        <v>119</v>
      </c>
      <c r="U9" s="343" t="s">
        <v>120</v>
      </c>
      <c r="V9" s="343" t="s">
        <v>121</v>
      </c>
      <c r="W9" s="343" t="s">
        <v>122</v>
      </c>
    </row>
    <row r="10" spans="1:23" s="32" customFormat="1" ht="63.75">
      <c r="A10" s="344"/>
      <c r="B10" s="344"/>
      <c r="C10" s="344"/>
      <c r="D10" s="53" t="s">
        <v>59</v>
      </c>
      <c r="E10" s="53" t="s">
        <v>60</v>
      </c>
      <c r="F10" s="53" t="s">
        <v>123</v>
      </c>
      <c r="G10" s="53" t="s">
        <v>214</v>
      </c>
      <c r="H10" s="53" t="s">
        <v>61</v>
      </c>
      <c r="I10" s="53" t="s">
        <v>132</v>
      </c>
      <c r="J10" s="53" t="s">
        <v>124</v>
      </c>
      <c r="K10" s="53" t="s">
        <v>131</v>
      </c>
      <c r="L10" s="53" t="s">
        <v>130</v>
      </c>
      <c r="M10" s="53" t="s">
        <v>217</v>
      </c>
      <c r="N10" s="53" t="s">
        <v>63</v>
      </c>
      <c r="O10" s="53" t="s">
        <v>64</v>
      </c>
      <c r="P10" s="53" t="s">
        <v>129</v>
      </c>
      <c r="Q10" s="54" t="s">
        <v>125</v>
      </c>
      <c r="R10" s="53" t="s">
        <v>215</v>
      </c>
      <c r="S10" s="344"/>
      <c r="T10" s="344"/>
      <c r="U10" s="344"/>
      <c r="V10" s="344"/>
      <c r="W10" s="344"/>
    </row>
    <row r="11" spans="1:23" s="31" customFormat="1">
      <c r="A11" s="163" t="s">
        <v>117</v>
      </c>
      <c r="B11" s="163" t="s">
        <v>2</v>
      </c>
      <c r="C11" s="163" t="s">
        <v>3</v>
      </c>
      <c r="D11" s="163" t="s">
        <v>4</v>
      </c>
      <c r="E11" s="163" t="s">
        <v>19</v>
      </c>
      <c r="F11" s="163" t="s">
        <v>18</v>
      </c>
      <c r="G11" s="163" t="s">
        <v>17</v>
      </c>
      <c r="H11" s="163" t="s">
        <v>16</v>
      </c>
      <c r="I11" s="163" t="s">
        <v>5</v>
      </c>
      <c r="J11" s="163" t="s">
        <v>6</v>
      </c>
      <c r="K11" s="163" t="s">
        <v>15</v>
      </c>
      <c r="L11" s="163" t="s">
        <v>20</v>
      </c>
      <c r="M11" s="163" t="s">
        <v>126</v>
      </c>
      <c r="N11" s="163" t="s">
        <v>0</v>
      </c>
      <c r="O11" s="163" t="s">
        <v>14</v>
      </c>
      <c r="P11" s="163" t="s">
        <v>127</v>
      </c>
      <c r="Q11" s="163" t="s">
        <v>7</v>
      </c>
      <c r="R11" s="163" t="s">
        <v>8</v>
      </c>
      <c r="S11" s="163" t="s">
        <v>9</v>
      </c>
      <c r="T11" s="163" t="s">
        <v>10</v>
      </c>
      <c r="U11" s="163" t="s">
        <v>11</v>
      </c>
      <c r="V11" s="163" t="s">
        <v>13</v>
      </c>
      <c r="W11" s="163" t="s">
        <v>128</v>
      </c>
    </row>
    <row r="12" spans="1:23" s="31" customFormat="1">
      <c r="A12" s="293">
        <v>1</v>
      </c>
      <c r="B12" s="1" t="s">
        <v>66</v>
      </c>
      <c r="C12" s="118">
        <v>1</v>
      </c>
      <c r="D12" s="80">
        <v>1</v>
      </c>
      <c r="E12" s="171">
        <v>2083.3000000000002</v>
      </c>
      <c r="F12" s="171">
        <f t="shared" ref="F12:F19" si="0">D12*E12</f>
        <v>2083.3000000000002</v>
      </c>
      <c r="G12" s="171">
        <f>F12*12/1000</f>
        <v>24.999600000000001</v>
      </c>
      <c r="H12" s="171">
        <v>2250</v>
      </c>
      <c r="I12" s="268">
        <f t="shared" ref="I12:I18" si="1">H12*C12</f>
        <v>2250</v>
      </c>
      <c r="J12" s="171">
        <f t="shared" ref="J12:J19" si="2">I12-D12*360</f>
        <v>1890</v>
      </c>
      <c r="K12" s="269">
        <f>+J12*5</f>
        <v>9450</v>
      </c>
      <c r="L12" s="171">
        <f>+K12</f>
        <v>9450</v>
      </c>
      <c r="M12" s="171">
        <f>L12*12/1000</f>
        <v>113.4</v>
      </c>
      <c r="N12" s="171">
        <v>8</v>
      </c>
      <c r="O12" s="171">
        <v>0</v>
      </c>
      <c r="P12" s="171">
        <f t="shared" ref="P12:P19" si="3">(N12+O12)*1000*C12</f>
        <v>8000</v>
      </c>
      <c r="Q12" s="171">
        <f>P12*20%</f>
        <v>1600</v>
      </c>
      <c r="R12" s="171">
        <f>(P12+Q12)*12/1000</f>
        <v>115.2</v>
      </c>
      <c r="S12" s="171">
        <f t="shared" ref="S12:S19" si="4">G12+M12+R12</f>
        <v>253.59960000000001</v>
      </c>
      <c r="T12" s="270"/>
      <c r="U12" s="270"/>
      <c r="V12" s="270"/>
      <c r="W12" s="270">
        <f>+(S12+T12+U12+V12)</f>
        <v>253.59960000000001</v>
      </c>
    </row>
    <row r="13" spans="1:23" s="31" customFormat="1">
      <c r="A13" s="293">
        <v>2</v>
      </c>
      <c r="B13" s="1" t="s">
        <v>67</v>
      </c>
      <c r="C13" s="118">
        <v>12</v>
      </c>
      <c r="D13" s="80">
        <v>12</v>
      </c>
      <c r="E13" s="171">
        <v>2083.3000000000002</v>
      </c>
      <c r="F13" s="171">
        <f t="shared" si="0"/>
        <v>24999.600000000002</v>
      </c>
      <c r="G13" s="171">
        <f t="shared" ref="G13:G19" si="5">F13*12/1000</f>
        <v>299.99520000000001</v>
      </c>
      <c r="H13" s="171">
        <v>1500</v>
      </c>
      <c r="I13" s="268">
        <f t="shared" si="1"/>
        <v>18000</v>
      </c>
      <c r="J13" s="171">
        <f t="shared" si="2"/>
        <v>13680</v>
      </c>
      <c r="K13" s="269">
        <f t="shared" ref="K13:K19" si="6">+J13*5</f>
        <v>68400</v>
      </c>
      <c r="L13" s="171">
        <f t="shared" ref="L13:L19" si="7">+K13</f>
        <v>68400</v>
      </c>
      <c r="M13" s="171">
        <f t="shared" ref="M13:M19" si="8">L13*12/1000</f>
        <v>820.8</v>
      </c>
      <c r="N13" s="171">
        <v>6</v>
      </c>
      <c r="O13" s="171">
        <v>0</v>
      </c>
      <c r="P13" s="171">
        <f t="shared" si="3"/>
        <v>72000</v>
      </c>
      <c r="Q13" s="171">
        <f t="shared" ref="Q13:Q19" si="9">P13*20%</f>
        <v>14400</v>
      </c>
      <c r="R13" s="171">
        <f t="shared" ref="R13:R19" si="10">(P13+Q13)*12/1000</f>
        <v>1036.8</v>
      </c>
      <c r="S13" s="171">
        <f t="shared" si="4"/>
        <v>2157.5951999999997</v>
      </c>
      <c r="T13" s="270"/>
      <c r="U13" s="270"/>
      <c r="V13" s="270"/>
      <c r="W13" s="270">
        <f t="shared" ref="W13:W19" si="11">+(S13+T13+U13+V13)</f>
        <v>2157.5951999999997</v>
      </c>
    </row>
    <row r="14" spans="1:23" s="31" customFormat="1">
      <c r="A14" s="293">
        <v>3</v>
      </c>
      <c r="B14" s="1" t="s">
        <v>68</v>
      </c>
      <c r="C14" s="118">
        <v>1</v>
      </c>
      <c r="D14" s="80">
        <v>1</v>
      </c>
      <c r="E14" s="171">
        <v>2083.3000000000002</v>
      </c>
      <c r="F14" s="171">
        <f t="shared" si="0"/>
        <v>2083.3000000000002</v>
      </c>
      <c r="G14" s="171">
        <f t="shared" si="5"/>
        <v>24.999600000000001</v>
      </c>
      <c r="H14" s="171">
        <v>1750</v>
      </c>
      <c r="I14" s="268">
        <f t="shared" si="1"/>
        <v>1750</v>
      </c>
      <c r="J14" s="171">
        <f t="shared" si="2"/>
        <v>1390</v>
      </c>
      <c r="K14" s="269">
        <f t="shared" si="6"/>
        <v>6950</v>
      </c>
      <c r="L14" s="171">
        <f t="shared" si="7"/>
        <v>6950</v>
      </c>
      <c r="M14" s="171">
        <f t="shared" si="8"/>
        <v>83.4</v>
      </c>
      <c r="N14" s="171">
        <v>4</v>
      </c>
      <c r="O14" s="171">
        <v>0</v>
      </c>
      <c r="P14" s="171">
        <f t="shared" si="3"/>
        <v>4000</v>
      </c>
      <c r="Q14" s="171">
        <f t="shared" si="9"/>
        <v>800</v>
      </c>
      <c r="R14" s="171">
        <f t="shared" si="10"/>
        <v>57.6</v>
      </c>
      <c r="S14" s="171">
        <f t="shared" si="4"/>
        <v>165.99960000000002</v>
      </c>
      <c r="T14" s="270"/>
      <c r="U14" s="270"/>
      <c r="V14" s="270"/>
      <c r="W14" s="270">
        <f t="shared" si="11"/>
        <v>165.99960000000002</v>
      </c>
    </row>
    <row r="15" spans="1:23" s="31" customFormat="1">
      <c r="A15" s="293">
        <v>4</v>
      </c>
      <c r="B15" s="1" t="s">
        <v>69</v>
      </c>
      <c r="C15" s="118">
        <v>1</v>
      </c>
      <c r="D15" s="80">
        <v>1</v>
      </c>
      <c r="E15" s="171">
        <v>2083.3000000000002</v>
      </c>
      <c r="F15" s="171">
        <f t="shared" si="0"/>
        <v>2083.3000000000002</v>
      </c>
      <c r="G15" s="171">
        <f t="shared" si="5"/>
        <v>24.999600000000001</v>
      </c>
      <c r="H15" s="171">
        <v>1750</v>
      </c>
      <c r="I15" s="268">
        <f t="shared" si="1"/>
        <v>1750</v>
      </c>
      <c r="J15" s="171">
        <f t="shared" si="2"/>
        <v>1390</v>
      </c>
      <c r="K15" s="269">
        <f t="shared" si="6"/>
        <v>6950</v>
      </c>
      <c r="L15" s="171">
        <f t="shared" si="7"/>
        <v>6950</v>
      </c>
      <c r="M15" s="171">
        <f t="shared" si="8"/>
        <v>83.4</v>
      </c>
      <c r="N15" s="171">
        <v>5</v>
      </c>
      <c r="O15" s="171">
        <v>0</v>
      </c>
      <c r="P15" s="171">
        <f t="shared" si="3"/>
        <v>5000</v>
      </c>
      <c r="Q15" s="171">
        <f t="shared" si="9"/>
        <v>1000</v>
      </c>
      <c r="R15" s="171">
        <f t="shared" si="10"/>
        <v>72</v>
      </c>
      <c r="S15" s="171">
        <f t="shared" si="4"/>
        <v>180.39960000000002</v>
      </c>
      <c r="T15" s="270"/>
      <c r="U15" s="270"/>
      <c r="V15" s="270"/>
      <c r="W15" s="270">
        <f t="shared" si="11"/>
        <v>180.39960000000002</v>
      </c>
    </row>
    <row r="16" spans="1:23" s="31" customFormat="1">
      <c r="A16" s="293">
        <v>5</v>
      </c>
      <c r="B16" s="1" t="s">
        <v>70</v>
      </c>
      <c r="C16" s="118">
        <v>1</v>
      </c>
      <c r="D16" s="80">
        <v>1</v>
      </c>
      <c r="E16" s="171">
        <v>2083.3000000000002</v>
      </c>
      <c r="F16" s="171">
        <f t="shared" si="0"/>
        <v>2083.3000000000002</v>
      </c>
      <c r="G16" s="171">
        <f t="shared" si="5"/>
        <v>24.999600000000001</v>
      </c>
      <c r="H16" s="171">
        <v>1250</v>
      </c>
      <c r="I16" s="268">
        <f t="shared" si="1"/>
        <v>1250</v>
      </c>
      <c r="J16" s="171">
        <f t="shared" si="2"/>
        <v>890</v>
      </c>
      <c r="K16" s="269">
        <f t="shared" si="6"/>
        <v>4450</v>
      </c>
      <c r="L16" s="171">
        <f t="shared" si="7"/>
        <v>4450</v>
      </c>
      <c r="M16" s="171">
        <f t="shared" si="8"/>
        <v>53.4</v>
      </c>
      <c r="N16" s="171">
        <v>2</v>
      </c>
      <c r="O16" s="171">
        <v>0</v>
      </c>
      <c r="P16" s="171">
        <f t="shared" si="3"/>
        <v>2000</v>
      </c>
      <c r="Q16" s="171">
        <f t="shared" si="9"/>
        <v>400</v>
      </c>
      <c r="R16" s="171">
        <f t="shared" si="10"/>
        <v>28.8</v>
      </c>
      <c r="S16" s="171">
        <f t="shared" si="4"/>
        <v>107.19959999999999</v>
      </c>
      <c r="T16" s="270"/>
      <c r="U16" s="270"/>
      <c r="V16" s="270"/>
      <c r="W16" s="270">
        <f t="shared" si="11"/>
        <v>107.19959999999999</v>
      </c>
    </row>
    <row r="17" spans="1:23" s="31" customFormat="1" ht="40.5">
      <c r="A17" s="293">
        <v>6</v>
      </c>
      <c r="B17" s="33" t="s">
        <v>71</v>
      </c>
      <c r="C17" s="85">
        <v>4</v>
      </c>
      <c r="D17" s="80">
        <v>2</v>
      </c>
      <c r="E17" s="171">
        <v>2083.3000000000002</v>
      </c>
      <c r="F17" s="171">
        <f t="shared" si="0"/>
        <v>4166.6000000000004</v>
      </c>
      <c r="G17" s="171">
        <f t="shared" si="5"/>
        <v>49.999200000000002</v>
      </c>
      <c r="H17" s="171">
        <v>1750</v>
      </c>
      <c r="I17" s="268">
        <f t="shared" si="1"/>
        <v>7000</v>
      </c>
      <c r="J17" s="171">
        <f t="shared" si="2"/>
        <v>6280</v>
      </c>
      <c r="K17" s="269">
        <f t="shared" si="6"/>
        <v>31400</v>
      </c>
      <c r="L17" s="171">
        <f t="shared" si="7"/>
        <v>31400</v>
      </c>
      <c r="M17" s="171">
        <f t="shared" si="8"/>
        <v>376.8</v>
      </c>
      <c r="N17" s="171">
        <v>3</v>
      </c>
      <c r="O17" s="171">
        <v>0</v>
      </c>
      <c r="P17" s="171">
        <f t="shared" si="3"/>
        <v>12000</v>
      </c>
      <c r="Q17" s="171">
        <f t="shared" si="9"/>
        <v>2400</v>
      </c>
      <c r="R17" s="171">
        <f t="shared" si="10"/>
        <v>172.8</v>
      </c>
      <c r="S17" s="171">
        <f t="shared" si="4"/>
        <v>599.59920000000011</v>
      </c>
      <c r="T17" s="270"/>
      <c r="U17" s="270"/>
      <c r="V17" s="270"/>
      <c r="W17" s="270">
        <f t="shared" si="11"/>
        <v>599.59920000000011</v>
      </c>
    </row>
    <row r="18" spans="1:23" s="31" customFormat="1">
      <c r="A18" s="293">
        <v>7</v>
      </c>
      <c r="B18" s="33" t="s">
        <v>73</v>
      </c>
      <c r="C18" s="118">
        <v>33</v>
      </c>
      <c r="D18" s="80">
        <v>1</v>
      </c>
      <c r="E18" s="171">
        <v>2083.3000000000002</v>
      </c>
      <c r="F18" s="171">
        <f>D18*E18</f>
        <v>2083.3000000000002</v>
      </c>
      <c r="G18" s="171">
        <f t="shared" si="5"/>
        <v>24.999600000000001</v>
      </c>
      <c r="H18" s="171">
        <v>100</v>
      </c>
      <c r="I18" s="268">
        <f t="shared" si="1"/>
        <v>3300</v>
      </c>
      <c r="J18" s="171">
        <f t="shared" si="2"/>
        <v>2940</v>
      </c>
      <c r="K18" s="269">
        <f t="shared" si="6"/>
        <v>14700</v>
      </c>
      <c r="L18" s="171">
        <f t="shared" si="7"/>
        <v>14700</v>
      </c>
      <c r="M18" s="171">
        <f t="shared" si="8"/>
        <v>176.4</v>
      </c>
      <c r="N18" s="171">
        <v>0.5</v>
      </c>
      <c r="O18" s="171">
        <v>0</v>
      </c>
      <c r="P18" s="171">
        <f t="shared" si="3"/>
        <v>16500</v>
      </c>
      <c r="Q18" s="171">
        <f>P18*20%</f>
        <v>3300</v>
      </c>
      <c r="R18" s="171">
        <f t="shared" si="10"/>
        <v>237.6</v>
      </c>
      <c r="S18" s="171">
        <f t="shared" si="4"/>
        <v>438.99959999999999</v>
      </c>
      <c r="T18" s="271"/>
      <c r="U18" s="271"/>
      <c r="V18" s="271"/>
      <c r="W18" s="270">
        <f t="shared" si="11"/>
        <v>438.99959999999999</v>
      </c>
    </row>
    <row r="19" spans="1:23" s="31" customFormat="1" ht="14.25">
      <c r="A19" s="293">
        <v>8</v>
      </c>
      <c r="B19" s="1" t="s">
        <v>72</v>
      </c>
      <c r="C19" s="85">
        <v>33</v>
      </c>
      <c r="D19" s="80">
        <v>4</v>
      </c>
      <c r="E19" s="171">
        <v>2083.3000000000002</v>
      </c>
      <c r="F19" s="171">
        <f t="shared" si="0"/>
        <v>8333.2000000000007</v>
      </c>
      <c r="G19" s="171">
        <f t="shared" si="5"/>
        <v>99.998400000000004</v>
      </c>
      <c r="H19" s="171">
        <v>360</v>
      </c>
      <c r="I19" s="268">
        <f>H19*D19</f>
        <v>1440</v>
      </c>
      <c r="J19" s="171">
        <f t="shared" si="2"/>
        <v>0</v>
      </c>
      <c r="K19" s="269">
        <f t="shared" si="6"/>
        <v>0</v>
      </c>
      <c r="L19" s="171">
        <f t="shared" si="7"/>
        <v>0</v>
      </c>
      <c r="M19" s="171">
        <f t="shared" si="8"/>
        <v>0</v>
      </c>
      <c r="N19" s="171">
        <v>0</v>
      </c>
      <c r="O19" s="171">
        <v>0</v>
      </c>
      <c r="P19" s="171">
        <f t="shared" si="3"/>
        <v>0</v>
      </c>
      <c r="Q19" s="171">
        <f t="shared" si="9"/>
        <v>0</v>
      </c>
      <c r="R19" s="171">
        <f t="shared" si="10"/>
        <v>0</v>
      </c>
      <c r="S19" s="171">
        <f t="shared" si="4"/>
        <v>99.998400000000004</v>
      </c>
      <c r="T19" s="280"/>
      <c r="U19" s="280"/>
      <c r="V19" s="280"/>
      <c r="W19" s="270">
        <f t="shared" si="11"/>
        <v>99.998400000000004</v>
      </c>
    </row>
    <row r="20" spans="1:23" s="31" customFormat="1" ht="16.5">
      <c r="A20" s="34"/>
      <c r="B20" s="35" t="s">
        <v>24</v>
      </c>
      <c r="C20" s="36">
        <f>SUM(C12:C19)</f>
        <v>86</v>
      </c>
      <c r="D20" s="36">
        <f>SUM(D12:D19)</f>
        <v>23</v>
      </c>
      <c r="E20" s="272"/>
      <c r="F20" s="272">
        <f>SUM(F12:F19)</f>
        <v>47915.900000000009</v>
      </c>
      <c r="G20" s="272">
        <f>SUM(G12:G19)</f>
        <v>574.99080000000004</v>
      </c>
      <c r="H20" s="272"/>
      <c r="I20" s="272">
        <f>SUM(I12:I19)</f>
        <v>36740</v>
      </c>
      <c r="J20" s="272"/>
      <c r="K20" s="273"/>
      <c r="L20" s="272">
        <f>SUM(L12:L19)</f>
        <v>142300</v>
      </c>
      <c r="M20" s="272">
        <f>SUM(M12:M19)</f>
        <v>1707.6000000000001</v>
      </c>
      <c r="N20" s="272"/>
      <c r="O20" s="272"/>
      <c r="P20" s="272"/>
      <c r="Q20" s="272"/>
      <c r="R20" s="272">
        <f>SUM(R12:R19)</f>
        <v>1720.7999999999997</v>
      </c>
      <c r="S20" s="274">
        <f>(R20+M20+G20)</f>
        <v>4003.3907999999997</v>
      </c>
      <c r="T20" s="272">
        <f>SUM(T11:T17)</f>
        <v>0</v>
      </c>
      <c r="U20" s="272">
        <f>SUM(U11:U17)</f>
        <v>0</v>
      </c>
      <c r="V20" s="272">
        <f>SUM(V11:V17)</f>
        <v>0</v>
      </c>
      <c r="W20" s="272">
        <f>SUM(W11:W19)</f>
        <v>4003.3908000000001</v>
      </c>
    </row>
    <row r="21" spans="1:23">
      <c r="A21" s="119"/>
      <c r="B21" s="120"/>
      <c r="C21" s="121"/>
      <c r="D21" s="121"/>
      <c r="E21" s="121"/>
      <c r="F21" s="121"/>
      <c r="G21" s="298">
        <f>G20</f>
        <v>574.99080000000004</v>
      </c>
      <c r="H21" s="121"/>
      <c r="I21" s="119"/>
      <c r="R21" s="122">
        <f>(R20+M20)</f>
        <v>3428.3999999999996</v>
      </c>
    </row>
    <row r="22" spans="1:23">
      <c r="A22" s="119"/>
      <c r="B22" s="120"/>
      <c r="C22" s="121"/>
      <c r="D22" s="121"/>
      <c r="E22" s="121"/>
      <c r="F22" s="121"/>
      <c r="G22" s="121"/>
      <c r="H22" s="121"/>
      <c r="I22" s="119"/>
    </row>
    <row r="23" spans="1:23">
      <c r="B23" s="7" t="s">
        <v>133</v>
      </c>
      <c r="C23" s="7"/>
      <c r="D23" s="7"/>
      <c r="E23" s="7"/>
      <c r="F23" s="7"/>
      <c r="G23" s="7"/>
      <c r="H23" s="7"/>
    </row>
    <row r="24" spans="1:23" ht="14.25">
      <c r="B24" s="341" t="s">
        <v>134</v>
      </c>
      <c r="C24" s="342"/>
      <c r="D24" s="56" t="s">
        <v>135</v>
      </c>
      <c r="E24" s="1" t="s">
        <v>136</v>
      </c>
      <c r="F24" s="1" t="s">
        <v>137</v>
      </c>
      <c r="G24" s="1" t="s">
        <v>138</v>
      </c>
      <c r="H24" s="1" t="s">
        <v>139</v>
      </c>
    </row>
    <row r="25" spans="1:23" ht="43.5" customHeight="1">
      <c r="B25" s="354" t="s">
        <v>186</v>
      </c>
      <c r="C25" s="355"/>
      <c r="D25" s="267">
        <v>11</v>
      </c>
      <c r="E25" s="265">
        <v>42</v>
      </c>
      <c r="F25" s="265"/>
      <c r="G25" s="265">
        <v>33</v>
      </c>
      <c r="H25" s="34">
        <f>SUM(D25:G25)</f>
        <v>86</v>
      </c>
    </row>
    <row r="26" spans="1:23" ht="14.25">
      <c r="B26" s="59" t="s">
        <v>24</v>
      </c>
      <c r="C26" s="56"/>
      <c r="D26" s="60">
        <f>+D25</f>
        <v>11</v>
      </c>
      <c r="E26" s="60">
        <f t="shared" ref="E26:H26" si="12">+E25</f>
        <v>42</v>
      </c>
      <c r="F26" s="60">
        <f t="shared" si="12"/>
        <v>0</v>
      </c>
      <c r="G26" s="60">
        <f t="shared" si="12"/>
        <v>33</v>
      </c>
      <c r="H26" s="60">
        <f t="shared" si="12"/>
        <v>86</v>
      </c>
    </row>
    <row r="32" spans="1:23" ht="69" customHeight="1"/>
  </sheetData>
  <mergeCells count="18">
    <mergeCell ref="B24:C24"/>
    <mergeCell ref="B1:F1"/>
    <mergeCell ref="B25:C25"/>
    <mergeCell ref="S9:S10"/>
    <mergeCell ref="Q2:S2"/>
    <mergeCell ref="A6:W6"/>
    <mergeCell ref="A5:W5"/>
    <mergeCell ref="N9:R9"/>
    <mergeCell ref="T9:T10"/>
    <mergeCell ref="U9:U10"/>
    <mergeCell ref="V9:V10"/>
    <mergeCell ref="W9:W10"/>
    <mergeCell ref="A9:A10"/>
    <mergeCell ref="B9:B10"/>
    <mergeCell ref="C9:C10"/>
    <mergeCell ref="D9:G9"/>
    <mergeCell ref="H9:M9"/>
    <mergeCell ref="C3:H3"/>
  </mergeCells>
  <pageMargins left="0.47244094488188998" right="0.15748031496063" top="0.98425196850393704" bottom="0.98425196850393704" header="0.511811023622047" footer="0.511811023622047"/>
  <pageSetup scale="61" orientation="landscape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W32"/>
  <sheetViews>
    <sheetView topLeftCell="C1" zoomScaleNormal="100" workbookViewId="0">
      <selection activeCell="G22" sqref="G22"/>
    </sheetView>
  </sheetViews>
  <sheetFormatPr defaultColWidth="7.140625" defaultRowHeight="13.5"/>
  <cols>
    <col min="1" max="1" width="4.28515625" style="294" customWidth="1"/>
    <col min="2" max="2" width="26.5703125" style="120" customWidth="1"/>
    <col min="3" max="3" width="5.28515625" style="121" customWidth="1"/>
    <col min="4" max="4" width="6.28515625" style="121" customWidth="1"/>
    <col min="5" max="5" width="9" style="121" bestFit="1" customWidth="1"/>
    <col min="6" max="6" width="9.140625" style="121" bestFit="1" customWidth="1"/>
    <col min="7" max="7" width="11.42578125" style="121" bestFit="1" customWidth="1"/>
    <col min="8" max="8" width="8.5703125" style="121" bestFit="1" customWidth="1"/>
    <col min="9" max="9" width="8.7109375" style="119" bestFit="1" customWidth="1"/>
    <col min="10" max="10" width="7.7109375" style="55" bestFit="1" customWidth="1"/>
    <col min="11" max="11" width="9.28515625" style="55" customWidth="1"/>
    <col min="12" max="12" width="9.5703125" style="55" bestFit="1" customWidth="1"/>
    <col min="13" max="13" width="9.140625" style="55" customWidth="1"/>
    <col min="14" max="14" width="5.140625" style="55" customWidth="1"/>
    <col min="15" max="15" width="4.5703125" style="55" customWidth="1"/>
    <col min="16" max="16" width="9" style="55" bestFit="1" customWidth="1"/>
    <col min="17" max="17" width="7.7109375" style="55" customWidth="1"/>
    <col min="18" max="18" width="10.7109375" style="55" customWidth="1"/>
    <col min="19" max="19" width="10.85546875" style="55" customWidth="1"/>
    <col min="20" max="244" width="9.140625" style="55" customWidth="1"/>
    <col min="245" max="245" width="4.28515625" style="55" customWidth="1"/>
    <col min="246" max="246" width="26.5703125" style="55" customWidth="1"/>
    <col min="247" max="247" width="5.28515625" style="55" customWidth="1"/>
    <col min="248" max="248" width="6.28515625" style="55" customWidth="1"/>
    <col min="249" max="16384" width="7.140625" style="55"/>
  </cols>
  <sheetData>
    <row r="1" spans="1:23" s="7" customFormat="1" ht="23.25" customHeight="1">
      <c r="A1" s="296"/>
      <c r="B1" s="332"/>
      <c r="C1" s="333"/>
      <c r="D1" s="333"/>
      <c r="E1" s="333"/>
      <c r="F1" s="333"/>
      <c r="G1" s="22"/>
      <c r="H1" s="22"/>
      <c r="I1" s="5"/>
      <c r="J1" s="5"/>
      <c r="K1" s="5"/>
      <c r="L1" s="5"/>
      <c r="Q1" s="5"/>
      <c r="R1" s="162" t="s">
        <v>47</v>
      </c>
      <c r="S1" s="22"/>
    </row>
    <row r="2" spans="1:23" s="7" customFormat="1" ht="15" customHeight="1">
      <c r="A2" s="296"/>
      <c r="B2" s="164"/>
      <c r="C2" s="166"/>
      <c r="D2" s="166"/>
      <c r="E2" s="166"/>
      <c r="F2" s="22"/>
      <c r="G2" s="22"/>
      <c r="H2" s="22"/>
      <c r="I2" s="5"/>
      <c r="J2" s="5"/>
      <c r="K2" s="5"/>
      <c r="L2" s="5"/>
      <c r="Q2" s="314" t="s">
        <v>21</v>
      </c>
      <c r="R2" s="314"/>
      <c r="S2" s="314"/>
    </row>
    <row r="3" spans="1:23" s="7" customFormat="1" ht="33" customHeight="1" thickBot="1">
      <c r="A3" s="292"/>
      <c r="B3" s="9" t="s">
        <v>65</v>
      </c>
      <c r="C3" s="353" t="s">
        <v>187</v>
      </c>
      <c r="D3" s="353"/>
      <c r="E3" s="353"/>
      <c r="F3" s="353"/>
      <c r="G3" s="353"/>
      <c r="H3" s="353"/>
      <c r="I3" s="5"/>
      <c r="J3" s="5"/>
      <c r="K3" s="5"/>
      <c r="L3" s="5"/>
    </row>
    <row r="4" spans="1:23" s="7" customFormat="1" ht="12.75" customHeight="1">
      <c r="A4" s="296"/>
      <c r="B4" s="22"/>
      <c r="C4" s="22"/>
      <c r="D4" s="25"/>
      <c r="E4" s="25"/>
      <c r="F4" s="22"/>
      <c r="G4" s="22"/>
      <c r="H4" s="22"/>
      <c r="I4" s="26"/>
      <c r="J4" s="5"/>
      <c r="K4" s="5"/>
      <c r="L4" s="5"/>
      <c r="M4" s="5"/>
      <c r="Q4" s="5"/>
      <c r="R4" s="5"/>
      <c r="S4" s="5"/>
    </row>
    <row r="5" spans="1:23" s="14" customFormat="1" ht="15" customHeight="1">
      <c r="A5" s="337" t="s">
        <v>22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</row>
    <row r="6" spans="1:23" s="14" customFormat="1" ht="15" customHeight="1">
      <c r="A6" s="337" t="s">
        <v>212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</row>
    <row r="7" spans="1:23" s="14" customFormat="1" ht="9.75" customHeight="1">
      <c r="A7" s="291"/>
      <c r="B7" s="29"/>
      <c r="C7" s="29"/>
      <c r="D7" s="29"/>
      <c r="E7" s="29"/>
      <c r="F7" s="29"/>
      <c r="G7" s="29"/>
      <c r="H7" s="29"/>
      <c r="I7" s="6"/>
      <c r="J7" s="6"/>
      <c r="K7" s="6"/>
      <c r="L7" s="6"/>
      <c r="O7" s="6"/>
      <c r="P7" s="6"/>
      <c r="Q7" s="6"/>
      <c r="R7" s="6"/>
      <c r="S7" s="6"/>
    </row>
    <row r="8" spans="1:23" s="7" customFormat="1">
      <c r="A8" s="292"/>
      <c r="B8" s="30"/>
      <c r="C8" s="25"/>
      <c r="D8" s="25"/>
      <c r="E8" s="25"/>
      <c r="F8" s="25"/>
      <c r="G8" s="25"/>
      <c r="H8" s="25"/>
      <c r="I8" s="5"/>
    </row>
    <row r="9" spans="1:23" s="31" customFormat="1" ht="12.75" customHeight="1">
      <c r="A9" s="343" t="s">
        <v>0</v>
      </c>
      <c r="B9" s="343" t="s">
        <v>54</v>
      </c>
      <c r="C9" s="343" t="s">
        <v>55</v>
      </c>
      <c r="D9" s="345" t="s">
        <v>56</v>
      </c>
      <c r="E9" s="346"/>
      <c r="F9" s="346"/>
      <c r="G9" s="347"/>
      <c r="H9" s="345" t="s">
        <v>57</v>
      </c>
      <c r="I9" s="346"/>
      <c r="J9" s="346"/>
      <c r="K9" s="346"/>
      <c r="L9" s="346"/>
      <c r="M9" s="347"/>
      <c r="N9" s="345" t="s">
        <v>58</v>
      </c>
      <c r="O9" s="346"/>
      <c r="P9" s="346"/>
      <c r="Q9" s="346"/>
      <c r="R9" s="347"/>
      <c r="S9" s="343" t="s">
        <v>118</v>
      </c>
      <c r="T9" s="343" t="s">
        <v>119</v>
      </c>
      <c r="U9" s="343" t="s">
        <v>120</v>
      </c>
      <c r="V9" s="343" t="s">
        <v>121</v>
      </c>
      <c r="W9" s="343" t="s">
        <v>122</v>
      </c>
    </row>
    <row r="10" spans="1:23" s="32" customFormat="1" ht="76.5">
      <c r="A10" s="344"/>
      <c r="B10" s="344"/>
      <c r="C10" s="344"/>
      <c r="D10" s="53" t="s">
        <v>59</v>
      </c>
      <c r="E10" s="53" t="s">
        <v>60</v>
      </c>
      <c r="F10" s="53" t="s">
        <v>123</v>
      </c>
      <c r="G10" s="53" t="s">
        <v>214</v>
      </c>
      <c r="H10" s="53" t="s">
        <v>61</v>
      </c>
      <c r="I10" s="53" t="s">
        <v>132</v>
      </c>
      <c r="J10" s="53" t="s">
        <v>124</v>
      </c>
      <c r="K10" s="53" t="s">
        <v>131</v>
      </c>
      <c r="L10" s="53" t="s">
        <v>130</v>
      </c>
      <c r="M10" s="53" t="s">
        <v>217</v>
      </c>
      <c r="N10" s="53" t="s">
        <v>63</v>
      </c>
      <c r="O10" s="53" t="s">
        <v>64</v>
      </c>
      <c r="P10" s="53" t="s">
        <v>129</v>
      </c>
      <c r="Q10" s="54" t="s">
        <v>125</v>
      </c>
      <c r="R10" s="53" t="s">
        <v>215</v>
      </c>
      <c r="S10" s="344"/>
      <c r="T10" s="344"/>
      <c r="U10" s="344"/>
      <c r="V10" s="344"/>
      <c r="W10" s="344"/>
    </row>
    <row r="11" spans="1:23" s="31" customFormat="1">
      <c r="A11" s="293" t="s">
        <v>117</v>
      </c>
      <c r="B11" s="163" t="s">
        <v>2</v>
      </c>
      <c r="C11" s="163" t="s">
        <v>3</v>
      </c>
      <c r="D11" s="163" t="s">
        <v>4</v>
      </c>
      <c r="E11" s="163" t="s">
        <v>19</v>
      </c>
      <c r="F11" s="163" t="s">
        <v>18</v>
      </c>
      <c r="G11" s="163" t="s">
        <v>17</v>
      </c>
      <c r="H11" s="163" t="s">
        <v>16</v>
      </c>
      <c r="I11" s="163" t="s">
        <v>5</v>
      </c>
      <c r="J11" s="163" t="s">
        <v>6</v>
      </c>
      <c r="K11" s="163" t="s">
        <v>15</v>
      </c>
      <c r="L11" s="163" t="s">
        <v>20</v>
      </c>
      <c r="M11" s="163" t="s">
        <v>126</v>
      </c>
      <c r="N11" s="163" t="s">
        <v>0</v>
      </c>
      <c r="O11" s="163" t="s">
        <v>14</v>
      </c>
      <c r="P11" s="163" t="s">
        <v>127</v>
      </c>
      <c r="Q11" s="163" t="s">
        <v>7</v>
      </c>
      <c r="R11" s="163" t="s">
        <v>8</v>
      </c>
      <c r="S11" s="163" t="s">
        <v>9</v>
      </c>
      <c r="T11" s="163" t="s">
        <v>10</v>
      </c>
      <c r="U11" s="163" t="s">
        <v>11</v>
      </c>
      <c r="V11" s="163" t="s">
        <v>13</v>
      </c>
      <c r="W11" s="163" t="s">
        <v>128</v>
      </c>
    </row>
    <row r="12" spans="1:23" s="31" customFormat="1">
      <c r="A12" s="293">
        <v>1</v>
      </c>
      <c r="B12" s="1" t="s">
        <v>66</v>
      </c>
      <c r="C12" s="138">
        <v>1</v>
      </c>
      <c r="D12" s="138">
        <v>1</v>
      </c>
      <c r="E12" s="171">
        <v>2083.3000000000002</v>
      </c>
      <c r="F12" s="171">
        <f t="shared" ref="F12:F17" si="0">D12*E12</f>
        <v>2083.3000000000002</v>
      </c>
      <c r="G12" s="171">
        <f>F12*12/1000</f>
        <v>24.999600000000001</v>
      </c>
      <c r="H12" s="171">
        <v>2250</v>
      </c>
      <c r="I12" s="268">
        <f t="shared" ref="I12:I19" si="1">H12*C12</f>
        <v>2250</v>
      </c>
      <c r="J12" s="171">
        <f t="shared" ref="J12:J19" si="2">I12-D12*360</f>
        <v>1890</v>
      </c>
      <c r="K12" s="269">
        <f>+J12*5</f>
        <v>9450</v>
      </c>
      <c r="L12" s="171">
        <f>+K12</f>
        <v>9450</v>
      </c>
      <c r="M12" s="171">
        <f>L12*12/1000</f>
        <v>113.4</v>
      </c>
      <c r="N12" s="171">
        <v>8</v>
      </c>
      <c r="O12" s="171">
        <v>0</v>
      </c>
      <c r="P12" s="171">
        <f t="shared" ref="P12:P19" si="3">(N12+O12)*1000*C12</f>
        <v>8000</v>
      </c>
      <c r="Q12" s="171">
        <f t="shared" ref="Q12:Q19" si="4">P12*20%</f>
        <v>1600</v>
      </c>
      <c r="R12" s="171">
        <f>(P12+Q12)*12/1000</f>
        <v>115.2</v>
      </c>
      <c r="S12" s="171">
        <f t="shared" ref="S12:S19" si="5">G12+M12+R12</f>
        <v>253.59960000000001</v>
      </c>
      <c r="T12" s="270"/>
      <c r="U12" s="270"/>
      <c r="V12" s="270"/>
      <c r="W12" s="270">
        <f>+(S12+T12+U12+V12)</f>
        <v>253.59960000000001</v>
      </c>
    </row>
    <row r="13" spans="1:23" s="31" customFormat="1">
      <c r="A13" s="293">
        <v>2</v>
      </c>
      <c r="B13" s="1" t="s">
        <v>67</v>
      </c>
      <c r="C13" s="138">
        <v>6</v>
      </c>
      <c r="D13" s="138">
        <v>6</v>
      </c>
      <c r="E13" s="171">
        <v>2083.3000000000002</v>
      </c>
      <c r="F13" s="171">
        <f t="shared" si="0"/>
        <v>12499.800000000001</v>
      </c>
      <c r="G13" s="171">
        <f t="shared" ref="G13:G19" si="6">F13*12/1000</f>
        <v>149.99760000000001</v>
      </c>
      <c r="H13" s="171">
        <v>1500</v>
      </c>
      <c r="I13" s="268">
        <f t="shared" si="1"/>
        <v>9000</v>
      </c>
      <c r="J13" s="171">
        <f t="shared" si="2"/>
        <v>6840</v>
      </c>
      <c r="K13" s="269">
        <f t="shared" ref="K13:K19" si="7">+J13*5</f>
        <v>34200</v>
      </c>
      <c r="L13" s="171">
        <f t="shared" ref="L13:L19" si="8">+K13</f>
        <v>34200</v>
      </c>
      <c r="M13" s="171">
        <f t="shared" ref="M13:M19" si="9">L13*12/1000</f>
        <v>410.4</v>
      </c>
      <c r="N13" s="171">
        <v>6</v>
      </c>
      <c r="O13" s="171">
        <v>0</v>
      </c>
      <c r="P13" s="171">
        <f t="shared" si="3"/>
        <v>36000</v>
      </c>
      <c r="Q13" s="171">
        <f t="shared" si="4"/>
        <v>7200</v>
      </c>
      <c r="R13" s="171">
        <f t="shared" ref="R13:R19" si="10">(P13+Q13)*12/1000</f>
        <v>518.4</v>
      </c>
      <c r="S13" s="171">
        <f t="shared" si="5"/>
        <v>1078.7975999999999</v>
      </c>
      <c r="T13" s="270"/>
      <c r="U13" s="270"/>
      <c r="V13" s="270"/>
      <c r="W13" s="270">
        <f t="shared" ref="W13:W19" si="11">+(S13+T13+U13+V13)</f>
        <v>1078.7975999999999</v>
      </c>
    </row>
    <row r="14" spans="1:23" s="31" customFormat="1">
      <c r="A14" s="293">
        <v>3</v>
      </c>
      <c r="B14" s="1" t="s">
        <v>68</v>
      </c>
      <c r="C14" s="138">
        <v>1</v>
      </c>
      <c r="D14" s="138">
        <v>1</v>
      </c>
      <c r="E14" s="171">
        <v>2083.3000000000002</v>
      </c>
      <c r="F14" s="171">
        <f t="shared" si="0"/>
        <v>2083.3000000000002</v>
      </c>
      <c r="G14" s="171">
        <f t="shared" si="6"/>
        <v>24.999600000000001</v>
      </c>
      <c r="H14" s="171">
        <v>1750</v>
      </c>
      <c r="I14" s="268">
        <f t="shared" si="1"/>
        <v>1750</v>
      </c>
      <c r="J14" s="171">
        <f t="shared" si="2"/>
        <v>1390</v>
      </c>
      <c r="K14" s="269">
        <f t="shared" si="7"/>
        <v>6950</v>
      </c>
      <c r="L14" s="171">
        <f t="shared" si="8"/>
        <v>6950</v>
      </c>
      <c r="M14" s="171">
        <f t="shared" si="9"/>
        <v>83.4</v>
      </c>
      <c r="N14" s="171">
        <v>4</v>
      </c>
      <c r="O14" s="171">
        <v>0</v>
      </c>
      <c r="P14" s="171">
        <f t="shared" si="3"/>
        <v>4000</v>
      </c>
      <c r="Q14" s="171">
        <f t="shared" si="4"/>
        <v>800</v>
      </c>
      <c r="R14" s="171">
        <f t="shared" si="10"/>
        <v>57.6</v>
      </c>
      <c r="S14" s="171">
        <f t="shared" si="5"/>
        <v>165.99960000000002</v>
      </c>
      <c r="T14" s="270"/>
      <c r="U14" s="270"/>
      <c r="V14" s="270"/>
      <c r="W14" s="270">
        <f t="shared" si="11"/>
        <v>165.99960000000002</v>
      </c>
    </row>
    <row r="15" spans="1:23" s="31" customFormat="1">
      <c r="A15" s="293">
        <v>4</v>
      </c>
      <c r="B15" s="1" t="s">
        <v>69</v>
      </c>
      <c r="C15" s="138">
        <v>1</v>
      </c>
      <c r="D15" s="138">
        <v>1</v>
      </c>
      <c r="E15" s="171">
        <v>2083.3000000000002</v>
      </c>
      <c r="F15" s="171">
        <f t="shared" si="0"/>
        <v>2083.3000000000002</v>
      </c>
      <c r="G15" s="171">
        <f t="shared" si="6"/>
        <v>24.999600000000001</v>
      </c>
      <c r="H15" s="171">
        <v>1750</v>
      </c>
      <c r="I15" s="268">
        <f t="shared" si="1"/>
        <v>1750</v>
      </c>
      <c r="J15" s="171">
        <f t="shared" si="2"/>
        <v>1390</v>
      </c>
      <c r="K15" s="269">
        <f t="shared" si="7"/>
        <v>6950</v>
      </c>
      <c r="L15" s="171">
        <f t="shared" si="8"/>
        <v>6950</v>
      </c>
      <c r="M15" s="171">
        <f t="shared" si="9"/>
        <v>83.4</v>
      </c>
      <c r="N15" s="171">
        <v>5</v>
      </c>
      <c r="O15" s="171">
        <v>0</v>
      </c>
      <c r="P15" s="171">
        <f t="shared" si="3"/>
        <v>5000</v>
      </c>
      <c r="Q15" s="171">
        <f t="shared" si="4"/>
        <v>1000</v>
      </c>
      <c r="R15" s="171">
        <f t="shared" si="10"/>
        <v>72</v>
      </c>
      <c r="S15" s="171">
        <f t="shared" si="5"/>
        <v>180.39960000000002</v>
      </c>
      <c r="T15" s="270"/>
      <c r="U15" s="270"/>
      <c r="V15" s="270"/>
      <c r="W15" s="270">
        <f t="shared" si="11"/>
        <v>180.39960000000002</v>
      </c>
    </row>
    <row r="16" spans="1:23" s="31" customFormat="1">
      <c r="A16" s="293">
        <v>5</v>
      </c>
      <c r="B16" s="1" t="s">
        <v>70</v>
      </c>
      <c r="C16" s="138">
        <v>1</v>
      </c>
      <c r="D16" s="138">
        <v>1</v>
      </c>
      <c r="E16" s="171">
        <v>2083.3000000000002</v>
      </c>
      <c r="F16" s="171">
        <f t="shared" si="0"/>
        <v>2083.3000000000002</v>
      </c>
      <c r="G16" s="171">
        <f t="shared" si="6"/>
        <v>24.999600000000001</v>
      </c>
      <c r="H16" s="171">
        <v>1250</v>
      </c>
      <c r="I16" s="268">
        <f t="shared" si="1"/>
        <v>1250</v>
      </c>
      <c r="J16" s="171">
        <f t="shared" si="2"/>
        <v>890</v>
      </c>
      <c r="K16" s="269">
        <f t="shared" si="7"/>
        <v>4450</v>
      </c>
      <c r="L16" s="171">
        <f t="shared" si="8"/>
        <v>4450</v>
      </c>
      <c r="M16" s="171">
        <f t="shared" si="9"/>
        <v>53.4</v>
      </c>
      <c r="N16" s="171">
        <v>2</v>
      </c>
      <c r="O16" s="171">
        <v>0</v>
      </c>
      <c r="P16" s="171">
        <f t="shared" si="3"/>
        <v>2000</v>
      </c>
      <c r="Q16" s="171">
        <f t="shared" si="4"/>
        <v>400</v>
      </c>
      <c r="R16" s="171">
        <f t="shared" si="10"/>
        <v>28.8</v>
      </c>
      <c r="S16" s="171">
        <f t="shared" si="5"/>
        <v>107.19959999999999</v>
      </c>
      <c r="T16" s="270"/>
      <c r="U16" s="270"/>
      <c r="V16" s="270"/>
      <c r="W16" s="270">
        <f t="shared" si="11"/>
        <v>107.19959999999999</v>
      </c>
    </row>
    <row r="17" spans="1:23" s="31" customFormat="1" ht="27">
      <c r="A17" s="293">
        <v>6</v>
      </c>
      <c r="B17" s="33" t="s">
        <v>71</v>
      </c>
      <c r="C17" s="139">
        <v>3</v>
      </c>
      <c r="D17" s="138">
        <v>3</v>
      </c>
      <c r="E17" s="171">
        <v>2083.3000000000002</v>
      </c>
      <c r="F17" s="171">
        <f t="shared" si="0"/>
        <v>6249.9000000000005</v>
      </c>
      <c r="G17" s="171">
        <f t="shared" si="6"/>
        <v>74.998800000000003</v>
      </c>
      <c r="H17" s="171">
        <v>1750</v>
      </c>
      <c r="I17" s="268">
        <f t="shared" si="1"/>
        <v>5250</v>
      </c>
      <c r="J17" s="171">
        <f t="shared" si="2"/>
        <v>4170</v>
      </c>
      <c r="K17" s="269">
        <f t="shared" si="7"/>
        <v>20850</v>
      </c>
      <c r="L17" s="171">
        <f t="shared" si="8"/>
        <v>20850</v>
      </c>
      <c r="M17" s="171">
        <f t="shared" si="9"/>
        <v>250.2</v>
      </c>
      <c r="N17" s="171">
        <v>3</v>
      </c>
      <c r="O17" s="171">
        <v>0</v>
      </c>
      <c r="P17" s="171">
        <f t="shared" si="3"/>
        <v>9000</v>
      </c>
      <c r="Q17" s="171">
        <f t="shared" si="4"/>
        <v>1800</v>
      </c>
      <c r="R17" s="171">
        <f t="shared" si="10"/>
        <v>129.6</v>
      </c>
      <c r="S17" s="171">
        <f t="shared" si="5"/>
        <v>454.79880000000003</v>
      </c>
      <c r="T17" s="270"/>
      <c r="U17" s="270"/>
      <c r="V17" s="270"/>
      <c r="W17" s="270">
        <f t="shared" si="11"/>
        <v>454.79880000000003</v>
      </c>
    </row>
    <row r="18" spans="1:23" s="31" customFormat="1">
      <c r="A18" s="293">
        <v>8</v>
      </c>
      <c r="B18" s="1" t="s">
        <v>72</v>
      </c>
      <c r="C18" s="139">
        <v>53</v>
      </c>
      <c r="D18" s="138">
        <v>1</v>
      </c>
      <c r="E18" s="171">
        <v>2083.3000000000002</v>
      </c>
      <c r="F18" s="171">
        <f>D18*E18</f>
        <v>2083.3000000000002</v>
      </c>
      <c r="G18" s="171">
        <f t="shared" si="6"/>
        <v>24.999600000000001</v>
      </c>
      <c r="H18" s="171">
        <v>360</v>
      </c>
      <c r="I18" s="268">
        <f>H18*D18</f>
        <v>360</v>
      </c>
      <c r="J18" s="171">
        <f>I18-D18*360</f>
        <v>0</v>
      </c>
      <c r="K18" s="269">
        <f t="shared" si="7"/>
        <v>0</v>
      </c>
      <c r="L18" s="171">
        <f t="shared" si="8"/>
        <v>0</v>
      </c>
      <c r="M18" s="171">
        <f t="shared" si="9"/>
        <v>0</v>
      </c>
      <c r="N18" s="171">
        <v>0</v>
      </c>
      <c r="O18" s="171">
        <v>0</v>
      </c>
      <c r="P18" s="171">
        <f t="shared" si="3"/>
        <v>0</v>
      </c>
      <c r="Q18" s="171">
        <f t="shared" si="4"/>
        <v>0</v>
      </c>
      <c r="R18" s="171">
        <f t="shared" si="10"/>
        <v>0</v>
      </c>
      <c r="S18" s="171">
        <f t="shared" si="5"/>
        <v>24.999600000000001</v>
      </c>
      <c r="T18" s="271"/>
      <c r="U18" s="271"/>
      <c r="V18" s="271"/>
      <c r="W18" s="270">
        <f t="shared" si="11"/>
        <v>24.999600000000001</v>
      </c>
    </row>
    <row r="19" spans="1:23" s="31" customFormat="1" ht="14.25">
      <c r="A19" s="293">
        <v>7</v>
      </c>
      <c r="B19" s="33" t="s">
        <v>73</v>
      </c>
      <c r="C19" s="139">
        <v>28</v>
      </c>
      <c r="D19" s="138">
        <v>4</v>
      </c>
      <c r="E19" s="171">
        <v>2083.3000000000002</v>
      </c>
      <c r="F19" s="171">
        <f>D19*E19</f>
        <v>8333.2000000000007</v>
      </c>
      <c r="G19" s="171">
        <f t="shared" si="6"/>
        <v>99.998400000000004</v>
      </c>
      <c r="H19" s="171">
        <v>100</v>
      </c>
      <c r="I19" s="268">
        <f t="shared" si="1"/>
        <v>2800</v>
      </c>
      <c r="J19" s="171">
        <f t="shared" si="2"/>
        <v>1360</v>
      </c>
      <c r="K19" s="269">
        <f t="shared" si="7"/>
        <v>6800</v>
      </c>
      <c r="L19" s="171">
        <f t="shared" si="8"/>
        <v>6800</v>
      </c>
      <c r="M19" s="171">
        <f t="shared" si="9"/>
        <v>81.599999999999994</v>
      </c>
      <c r="N19" s="171">
        <v>0.5</v>
      </c>
      <c r="O19" s="171">
        <v>0</v>
      </c>
      <c r="P19" s="171">
        <f t="shared" si="3"/>
        <v>14000</v>
      </c>
      <c r="Q19" s="171">
        <f t="shared" si="4"/>
        <v>2800</v>
      </c>
      <c r="R19" s="171">
        <f t="shared" si="10"/>
        <v>201.6</v>
      </c>
      <c r="S19" s="171">
        <f t="shared" si="5"/>
        <v>383.19839999999999</v>
      </c>
      <c r="T19" s="280"/>
      <c r="U19" s="280"/>
      <c r="V19" s="280"/>
      <c r="W19" s="270">
        <f t="shared" si="11"/>
        <v>383.19839999999999</v>
      </c>
    </row>
    <row r="20" spans="1:23" s="31" customFormat="1" ht="16.5">
      <c r="A20" s="297"/>
      <c r="B20" s="35" t="s">
        <v>24</v>
      </c>
      <c r="C20" s="36">
        <f>SUM(C12:C19)</f>
        <v>94</v>
      </c>
      <c r="D20" s="36">
        <f>SUM(D12:D19)</f>
        <v>18</v>
      </c>
      <c r="E20" s="272"/>
      <c r="F20" s="272">
        <f>SUM(F12:F19)</f>
        <v>37499.4</v>
      </c>
      <c r="G20" s="272">
        <f>SUM(G12:G19)</f>
        <v>449.99279999999999</v>
      </c>
      <c r="H20" s="272">
        <f>SUM(H12:H19)</f>
        <v>10710</v>
      </c>
      <c r="I20" s="272">
        <f>SUM(I12:I19)</f>
        <v>24410</v>
      </c>
      <c r="J20" s="272"/>
      <c r="K20" s="273"/>
      <c r="L20" s="272">
        <f>SUM(L12:L19)</f>
        <v>89650</v>
      </c>
      <c r="M20" s="272">
        <f>SUM(M12:M19)</f>
        <v>1075.7999999999997</v>
      </c>
      <c r="N20" s="272"/>
      <c r="O20" s="272"/>
      <c r="P20" s="272"/>
      <c r="Q20" s="272"/>
      <c r="R20" s="272">
        <f>SUM(R12:R19)</f>
        <v>1123.2</v>
      </c>
      <c r="S20" s="274">
        <f>(R20+M20+G20)</f>
        <v>2648.9928</v>
      </c>
      <c r="T20" s="272">
        <f>SUM(T11:T17)</f>
        <v>0</v>
      </c>
      <c r="U20" s="272">
        <f>SUM(U11:U17)</f>
        <v>0</v>
      </c>
      <c r="V20" s="272">
        <f>SUM(V11:V17)</f>
        <v>0</v>
      </c>
      <c r="W20" s="272">
        <f>SUM(W12:W19)</f>
        <v>2648.9928</v>
      </c>
    </row>
    <row r="21" spans="1:23">
      <c r="G21" s="298">
        <f>G20</f>
        <v>449.99279999999999</v>
      </c>
      <c r="R21" s="122">
        <f>(R20+M20)</f>
        <v>2199</v>
      </c>
    </row>
    <row r="22" spans="1:23" s="125" customFormat="1">
      <c r="A22" s="295"/>
      <c r="B22" s="141"/>
      <c r="C22" s="142"/>
      <c r="D22" s="142"/>
      <c r="E22" s="142"/>
      <c r="F22" s="142"/>
      <c r="G22" s="142"/>
      <c r="H22" s="142"/>
      <c r="I22" s="140"/>
    </row>
    <row r="23" spans="1:23">
      <c r="B23" s="7" t="s">
        <v>133</v>
      </c>
      <c r="C23" s="7"/>
      <c r="D23" s="7"/>
      <c r="E23" s="7"/>
      <c r="F23" s="7"/>
      <c r="G23" s="7"/>
      <c r="H23" s="7"/>
    </row>
    <row r="24" spans="1:23" ht="14.25">
      <c r="B24" s="341" t="s">
        <v>134</v>
      </c>
      <c r="C24" s="342"/>
      <c r="D24" s="56" t="s">
        <v>135</v>
      </c>
      <c r="E24" s="1" t="s">
        <v>136</v>
      </c>
      <c r="F24" s="1" t="s">
        <v>137</v>
      </c>
      <c r="G24" s="1" t="s">
        <v>138</v>
      </c>
      <c r="H24" s="1" t="s">
        <v>139</v>
      </c>
    </row>
    <row r="25" spans="1:23" ht="39.75" customHeight="1">
      <c r="B25" s="354" t="s">
        <v>187</v>
      </c>
      <c r="C25" s="355"/>
      <c r="D25" s="267">
        <v>7</v>
      </c>
      <c r="E25" s="265">
        <v>33</v>
      </c>
      <c r="F25" s="265"/>
      <c r="G25" s="265">
        <v>54</v>
      </c>
      <c r="H25" s="34">
        <f>SUM(D25:G25)</f>
        <v>94</v>
      </c>
    </row>
    <row r="26" spans="1:23" ht="14.25">
      <c r="B26" s="59" t="s">
        <v>24</v>
      </c>
      <c r="C26" s="56"/>
      <c r="D26" s="60">
        <f>+D25</f>
        <v>7</v>
      </c>
      <c r="E26" s="60">
        <f t="shared" ref="E26:H26" si="12">+E25</f>
        <v>33</v>
      </c>
      <c r="F26" s="60">
        <f t="shared" si="12"/>
        <v>0</v>
      </c>
      <c r="G26" s="60">
        <f t="shared" si="12"/>
        <v>54</v>
      </c>
      <c r="H26" s="60">
        <f t="shared" si="12"/>
        <v>94</v>
      </c>
    </row>
    <row r="32" spans="1:23" ht="69" customHeight="1"/>
  </sheetData>
  <mergeCells count="18">
    <mergeCell ref="B1:F1"/>
    <mergeCell ref="A6:W6"/>
    <mergeCell ref="A5:W5"/>
    <mergeCell ref="T9:T10"/>
    <mergeCell ref="U9:U10"/>
    <mergeCell ref="V9:V10"/>
    <mergeCell ref="W9:W10"/>
    <mergeCell ref="A9:A10"/>
    <mergeCell ref="B9:B10"/>
    <mergeCell ref="Q2:S2"/>
    <mergeCell ref="C9:C10"/>
    <mergeCell ref="D9:G9"/>
    <mergeCell ref="H9:M9"/>
    <mergeCell ref="N9:R9"/>
    <mergeCell ref="S9:S10"/>
    <mergeCell ref="C3:H3"/>
    <mergeCell ref="B25:C25"/>
    <mergeCell ref="B24:C24"/>
  </mergeCells>
  <pageMargins left="0.43307086614173201" right="0.27559055118110198" top="0.98425196850393704" bottom="0.98425196850393704" header="0.511811023622047" footer="0.511811023622047"/>
  <pageSetup scale="65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S33"/>
  <sheetViews>
    <sheetView topLeftCell="A15" zoomScaleNormal="100" workbookViewId="0">
      <selection activeCell="C28" sqref="C28"/>
    </sheetView>
  </sheetViews>
  <sheetFormatPr defaultColWidth="9.140625" defaultRowHeight="16.5"/>
  <cols>
    <col min="1" max="1" width="3.7109375" style="238" customWidth="1"/>
    <col min="2" max="2" width="27.85546875" style="235" customWidth="1"/>
    <col min="3" max="3" width="10" style="188" bestFit="1" customWidth="1"/>
    <col min="4" max="4" width="10" style="188" customWidth="1"/>
    <col min="5" max="5" width="9.28515625" style="188" customWidth="1"/>
    <col min="6" max="6" width="11.140625" style="188" bestFit="1" customWidth="1"/>
    <col min="7" max="7" width="14" style="239" bestFit="1" customWidth="1"/>
    <col min="8" max="8" width="10" style="188" customWidth="1"/>
    <col min="9" max="9" width="14.85546875" style="189" customWidth="1"/>
    <col min="10" max="10" width="11.140625" style="188" bestFit="1" customWidth="1"/>
    <col min="11" max="11" width="13.85546875" style="189" customWidth="1"/>
    <col min="12" max="12" width="9.140625" style="235" customWidth="1"/>
    <col min="13" max="13" width="12.7109375" style="235" hidden="1" customWidth="1"/>
    <col min="14" max="14" width="9.140625" style="235" hidden="1" customWidth="1"/>
    <col min="15" max="15" width="10.28515625" style="236" hidden="1" customWidth="1"/>
    <col min="16" max="17" width="9.140625" style="237" hidden="1" customWidth="1"/>
    <col min="18" max="18" width="9.140625" style="235" customWidth="1"/>
    <col min="19" max="16384" width="9.140625" style="235"/>
  </cols>
  <sheetData>
    <row r="1" spans="1:17" s="206" customFormat="1" ht="23.25" customHeight="1">
      <c r="A1" s="202"/>
      <c r="B1" s="319"/>
      <c r="C1" s="319"/>
      <c r="D1" s="319"/>
      <c r="E1" s="319"/>
      <c r="F1" s="319"/>
      <c r="G1" s="203"/>
      <c r="H1" s="176"/>
      <c r="I1" s="177"/>
      <c r="J1" s="204" t="s">
        <v>140</v>
      </c>
      <c r="K1" s="205"/>
      <c r="O1" s="207"/>
      <c r="P1" s="208"/>
      <c r="Q1" s="208"/>
    </row>
    <row r="2" spans="1:17" s="206" customFormat="1" ht="15" customHeight="1">
      <c r="A2" s="202"/>
      <c r="B2" s="209"/>
      <c r="C2" s="210"/>
      <c r="D2" s="210"/>
      <c r="E2" s="210"/>
      <c r="F2" s="176"/>
      <c r="G2" s="203"/>
      <c r="H2" s="176"/>
      <c r="I2" s="320" t="s">
        <v>21</v>
      </c>
      <c r="J2" s="320"/>
      <c r="K2" s="320"/>
      <c r="O2" s="207"/>
      <c r="P2" s="208"/>
      <c r="Q2" s="208"/>
    </row>
    <row r="3" spans="1:17" s="206" customFormat="1" ht="18" thickBot="1">
      <c r="A3" s="211"/>
      <c r="B3" s="212" t="s">
        <v>65</v>
      </c>
      <c r="C3" s="213"/>
      <c r="D3" s="214"/>
      <c r="E3" s="214"/>
      <c r="F3" s="214"/>
      <c r="G3" s="215"/>
      <c r="H3" s="178"/>
      <c r="I3" s="179"/>
      <c r="J3" s="216"/>
      <c r="K3" s="179"/>
      <c r="O3" s="207"/>
      <c r="P3" s="208"/>
      <c r="Q3" s="208"/>
    </row>
    <row r="4" spans="1:17" s="211" customFormat="1" ht="13.5">
      <c r="C4" s="180"/>
      <c r="D4" s="180"/>
      <c r="E4" s="180"/>
      <c r="F4" s="180"/>
      <c r="H4" s="180"/>
      <c r="I4" s="181"/>
      <c r="J4" s="180"/>
      <c r="K4" s="181"/>
      <c r="O4" s="217"/>
      <c r="P4" s="218"/>
      <c r="Q4" s="218"/>
    </row>
    <row r="5" spans="1:17" s="219" customFormat="1">
      <c r="A5" s="321" t="s">
        <v>22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O5" s="220"/>
      <c r="P5" s="221"/>
      <c r="Q5" s="221"/>
    </row>
    <row r="6" spans="1:17" s="219" customFormat="1">
      <c r="A6" s="322" t="s">
        <v>220</v>
      </c>
      <c r="B6" s="322"/>
      <c r="C6" s="322"/>
      <c r="D6" s="322"/>
      <c r="E6" s="322"/>
      <c r="F6" s="322"/>
      <c r="G6" s="322"/>
      <c r="H6" s="322"/>
      <c r="I6" s="322"/>
      <c r="J6" s="322"/>
      <c r="K6" s="322"/>
      <c r="O6" s="220"/>
      <c r="P6" s="221"/>
      <c r="Q6" s="221"/>
    </row>
    <row r="7" spans="1:17" s="211" customFormat="1" ht="13.5">
      <c r="C7" s="180"/>
      <c r="D7" s="180"/>
      <c r="E7" s="180"/>
      <c r="F7" s="180"/>
      <c r="H7" s="180"/>
      <c r="I7" s="181"/>
      <c r="J7" s="180"/>
      <c r="K7" s="181" t="s">
        <v>150</v>
      </c>
      <c r="O7" s="217"/>
      <c r="P7" s="218"/>
      <c r="Q7" s="218"/>
    </row>
    <row r="8" spans="1:17" s="211" customFormat="1" ht="25.5" customHeight="1">
      <c r="A8" s="323" t="s">
        <v>31</v>
      </c>
      <c r="B8" s="325" t="s">
        <v>48</v>
      </c>
      <c r="C8" s="318" t="s">
        <v>221</v>
      </c>
      <c r="D8" s="318"/>
      <c r="E8" s="318"/>
      <c r="F8" s="318"/>
      <c r="G8" s="318"/>
      <c r="H8" s="318" t="s">
        <v>208</v>
      </c>
      <c r="I8" s="318"/>
      <c r="J8" s="318" t="s">
        <v>49</v>
      </c>
      <c r="K8" s="318"/>
      <c r="O8" s="217"/>
      <c r="P8" s="218"/>
      <c r="Q8" s="218"/>
    </row>
    <row r="9" spans="1:17" s="211" customFormat="1" ht="91.5" customHeight="1" thickBot="1">
      <c r="A9" s="324"/>
      <c r="B9" s="326"/>
      <c r="C9" s="182" t="s">
        <v>74</v>
      </c>
      <c r="D9" s="222" t="s">
        <v>75</v>
      </c>
      <c r="E9" s="222" t="s">
        <v>76</v>
      </c>
      <c r="F9" s="182" t="s">
        <v>77</v>
      </c>
      <c r="G9" s="223" t="s">
        <v>78</v>
      </c>
      <c r="H9" s="182" t="s">
        <v>74</v>
      </c>
      <c r="I9" s="183" t="s">
        <v>78</v>
      </c>
      <c r="J9" s="182" t="s">
        <v>79</v>
      </c>
      <c r="K9" s="183" t="s">
        <v>80</v>
      </c>
      <c r="M9" s="224" t="s">
        <v>151</v>
      </c>
      <c r="O9" s="225" t="s">
        <v>174</v>
      </c>
      <c r="P9" s="225" t="s">
        <v>175</v>
      </c>
      <c r="Q9" s="225" t="s">
        <v>176</v>
      </c>
    </row>
    <row r="10" spans="1:17" s="211" customFormat="1" ht="15" thickBot="1">
      <c r="A10" s="226">
        <v>1</v>
      </c>
      <c r="B10" s="227">
        <f>A10+1</f>
        <v>2</v>
      </c>
      <c r="C10" s="184">
        <f>B10+1</f>
        <v>3</v>
      </c>
      <c r="D10" s="184">
        <f t="shared" ref="D10:K10" si="0">C10+1</f>
        <v>4</v>
      </c>
      <c r="E10" s="184">
        <f t="shared" si="0"/>
        <v>5</v>
      </c>
      <c r="F10" s="184">
        <f t="shared" si="0"/>
        <v>6</v>
      </c>
      <c r="G10" s="227">
        <f t="shared" si="0"/>
        <v>7</v>
      </c>
      <c r="H10" s="184">
        <f t="shared" si="0"/>
        <v>8</v>
      </c>
      <c r="I10" s="185">
        <f t="shared" si="0"/>
        <v>9</v>
      </c>
      <c r="J10" s="228">
        <f t="shared" si="0"/>
        <v>10</v>
      </c>
      <c r="K10" s="229">
        <f t="shared" si="0"/>
        <v>11</v>
      </c>
      <c r="M10" s="230" t="s">
        <v>152</v>
      </c>
      <c r="O10" s="217"/>
      <c r="P10" s="218"/>
      <c r="Q10" s="218"/>
    </row>
    <row r="11" spans="1:17" s="211" customFormat="1" ht="14.25">
      <c r="A11" s="265"/>
      <c r="B11" s="306" t="s">
        <v>24</v>
      </c>
      <c r="C11" s="307">
        <f>SUM(C13:C32)</f>
        <v>211096.74996842109</v>
      </c>
      <c r="D11" s="307"/>
      <c r="E11" s="307"/>
      <c r="F11" s="307"/>
      <c r="G11" s="308">
        <f>SUM(G13:G32)</f>
        <v>1237748.2398080004</v>
      </c>
      <c r="H11" s="186">
        <f>SUM(H13:H32)</f>
        <v>106528.45394736843</v>
      </c>
      <c r="I11" s="264">
        <f>SUM(I13:I32)</f>
        <v>647693</v>
      </c>
      <c r="J11" s="186">
        <f>SUM(J13:J32)</f>
        <v>104568.29602105267</v>
      </c>
      <c r="K11" s="187">
        <f>SUM(K13:K27)</f>
        <v>465943.65400000016</v>
      </c>
      <c r="M11" s="231"/>
      <c r="O11" s="217">
        <f>SUM(O13:O32)</f>
        <v>718347.2</v>
      </c>
      <c r="P11" s="217">
        <f>SUM(P13:P32)</f>
        <v>-510401.03980800021</v>
      </c>
      <c r="Q11" s="217">
        <f>SUM(Q13:Q32)</f>
        <v>509734.40000000002</v>
      </c>
    </row>
    <row r="12" spans="1:17" s="211" customFormat="1" ht="13.5">
      <c r="A12" s="265"/>
      <c r="B12" s="309" t="s">
        <v>50</v>
      </c>
      <c r="C12" s="307"/>
      <c r="D12" s="307"/>
      <c r="E12" s="307"/>
      <c r="F12" s="307"/>
      <c r="G12" s="308"/>
      <c r="H12" s="186"/>
      <c r="I12" s="187"/>
      <c r="J12" s="186"/>
      <c r="K12" s="187"/>
      <c r="M12" s="231"/>
      <c r="O12" s="217"/>
      <c r="P12" s="218"/>
      <c r="Q12" s="218"/>
    </row>
    <row r="13" spans="1:17" s="211" customFormat="1" ht="13.5">
      <c r="A13" s="310">
        <v>1</v>
      </c>
      <c r="B13" s="311" t="s">
        <v>158</v>
      </c>
      <c r="C13" s="307">
        <v>9000</v>
      </c>
      <c r="D13" s="307"/>
      <c r="E13" s="307"/>
      <c r="F13" s="312">
        <v>1000</v>
      </c>
      <c r="G13" s="313">
        <f>F13*C13/1000</f>
        <v>9000</v>
      </c>
      <c r="H13" s="186">
        <f>+I13/6.08</f>
        <v>1151.0690789473683</v>
      </c>
      <c r="I13" s="187">
        <v>6998.5</v>
      </c>
      <c r="J13" s="186">
        <f>C13-H13</f>
        <v>7848.9309210526317</v>
      </c>
      <c r="K13" s="187">
        <f>G13-I13</f>
        <v>2001.5</v>
      </c>
      <c r="M13" s="231"/>
      <c r="O13" s="217"/>
      <c r="P13" s="218"/>
      <c r="Q13" s="218"/>
    </row>
    <row r="14" spans="1:17" s="232" customFormat="1" ht="13.5">
      <c r="A14" s="310">
        <v>2</v>
      </c>
      <c r="B14" s="311" t="s">
        <v>33</v>
      </c>
      <c r="C14" s="307">
        <v>3290</v>
      </c>
      <c r="D14" s="307">
        <v>8</v>
      </c>
      <c r="E14" s="307">
        <v>760</v>
      </c>
      <c r="F14" s="312">
        <f>E14*D14</f>
        <v>6080</v>
      </c>
      <c r="G14" s="313">
        <f>F14*C14/1000</f>
        <v>20003.2</v>
      </c>
      <c r="H14" s="186">
        <f t="shared" ref="H14:H32" si="1">+I14/6.08</f>
        <v>2581.6611842105262</v>
      </c>
      <c r="I14" s="187">
        <v>15696.5</v>
      </c>
      <c r="J14" s="186">
        <f>C14-H14</f>
        <v>708.33881578947376</v>
      </c>
      <c r="K14" s="187">
        <f>G14-I14</f>
        <v>4306.7000000000007</v>
      </c>
      <c r="M14" s="187">
        <v>11.9</v>
      </c>
      <c r="N14" s="232">
        <f>+I14+I14*M14/100</f>
        <v>17564.3835</v>
      </c>
      <c r="O14" s="233">
        <v>8640</v>
      </c>
      <c r="P14" s="234">
        <f>+O14-G14</f>
        <v>-11363.2</v>
      </c>
      <c r="Q14" s="234">
        <v>6027.3</v>
      </c>
    </row>
    <row r="15" spans="1:17" s="232" customFormat="1" ht="27">
      <c r="A15" s="310">
        <v>3</v>
      </c>
      <c r="B15" s="311" t="s">
        <v>34</v>
      </c>
      <c r="C15" s="307">
        <v>6692.2</v>
      </c>
      <c r="D15" s="307">
        <v>8</v>
      </c>
      <c r="E15" s="307">
        <v>760</v>
      </c>
      <c r="F15" s="312">
        <f t="shared" ref="F15:F26" si="2">E15*D15</f>
        <v>6080</v>
      </c>
      <c r="G15" s="313">
        <f t="shared" ref="G15:G26" si="3">F15*C15/1000</f>
        <v>40688.576000000001</v>
      </c>
      <c r="H15" s="186">
        <f t="shared" si="1"/>
        <v>2624.4078947368425</v>
      </c>
      <c r="I15" s="187">
        <v>15956.400000000001</v>
      </c>
      <c r="J15" s="186">
        <f t="shared" ref="J15:J27" si="4">C15-H15</f>
        <v>4067.7921052631573</v>
      </c>
      <c r="K15" s="187">
        <f t="shared" ref="K15:K27" si="5">G15-I15</f>
        <v>24732.175999999999</v>
      </c>
      <c r="M15" s="187">
        <v>3</v>
      </c>
      <c r="N15" s="232">
        <f t="shared" ref="N15:N27" si="6">+I15+I15*M15/100</f>
        <v>16435.092000000001</v>
      </c>
      <c r="O15" s="233">
        <v>17760</v>
      </c>
      <c r="P15" s="234">
        <f t="shared" ref="P15:P27" si="7">+O15-G15</f>
        <v>-22928.576000000001</v>
      </c>
      <c r="Q15" s="234">
        <v>12721.5</v>
      </c>
    </row>
    <row r="16" spans="1:17" s="232" customFormat="1" ht="27">
      <c r="A16" s="310">
        <v>4</v>
      </c>
      <c r="B16" s="311" t="s">
        <v>35</v>
      </c>
      <c r="C16" s="307">
        <v>8423</v>
      </c>
      <c r="D16" s="307">
        <v>8</v>
      </c>
      <c r="E16" s="307">
        <v>760</v>
      </c>
      <c r="F16" s="312">
        <f t="shared" si="2"/>
        <v>6080</v>
      </c>
      <c r="G16" s="313">
        <f t="shared" si="3"/>
        <v>51211.839999999997</v>
      </c>
      <c r="H16" s="186">
        <f t="shared" si="1"/>
        <v>2055.5756578947367</v>
      </c>
      <c r="I16" s="187">
        <v>12497.9</v>
      </c>
      <c r="J16" s="186">
        <f t="shared" si="4"/>
        <v>6367.4243421052633</v>
      </c>
      <c r="K16" s="187">
        <f t="shared" si="5"/>
        <v>38713.939999999995</v>
      </c>
      <c r="M16" s="187">
        <v>-3.3</v>
      </c>
      <c r="N16" s="232">
        <f t="shared" si="6"/>
        <v>12085.469299999999</v>
      </c>
      <c r="O16" s="233">
        <v>13449</v>
      </c>
      <c r="P16" s="234">
        <f t="shared" si="7"/>
        <v>-37762.839999999997</v>
      </c>
      <c r="Q16" s="234">
        <v>8711.2999999999993</v>
      </c>
    </row>
    <row r="17" spans="1:19" s="232" customFormat="1" ht="27">
      <c r="A17" s="310">
        <v>5</v>
      </c>
      <c r="B17" s="311" t="s">
        <v>188</v>
      </c>
      <c r="C17" s="307">
        <v>5453</v>
      </c>
      <c r="D17" s="307">
        <v>8</v>
      </c>
      <c r="E17" s="307">
        <v>760</v>
      </c>
      <c r="F17" s="312">
        <f t="shared" si="2"/>
        <v>6080</v>
      </c>
      <c r="G17" s="313">
        <f t="shared" si="3"/>
        <v>33154.239999999998</v>
      </c>
      <c r="H17" s="186">
        <f t="shared" si="1"/>
        <v>3293.1907894736837</v>
      </c>
      <c r="I17" s="187">
        <v>20022.599999999999</v>
      </c>
      <c r="J17" s="186">
        <f t="shared" si="4"/>
        <v>2159.8092105263163</v>
      </c>
      <c r="K17" s="187">
        <f t="shared" si="5"/>
        <v>13131.64</v>
      </c>
      <c r="M17" s="187">
        <v>30.2</v>
      </c>
      <c r="N17" s="232">
        <f t="shared" si="6"/>
        <v>26069.425199999998</v>
      </c>
      <c r="O17" s="233">
        <v>10560</v>
      </c>
      <c r="P17" s="234">
        <f t="shared" si="7"/>
        <v>-22594.239999999998</v>
      </c>
      <c r="Q17" s="234">
        <v>9794.2999999999993</v>
      </c>
    </row>
    <row r="18" spans="1:19" s="232" customFormat="1" ht="13.5">
      <c r="A18" s="310">
        <v>6</v>
      </c>
      <c r="B18" s="311" t="s">
        <v>37</v>
      </c>
      <c r="C18" s="307">
        <v>41000</v>
      </c>
      <c r="D18" s="307">
        <v>8</v>
      </c>
      <c r="E18" s="307">
        <v>760</v>
      </c>
      <c r="F18" s="312">
        <f t="shared" si="2"/>
        <v>6080</v>
      </c>
      <c r="G18" s="313">
        <f t="shared" si="3"/>
        <v>249280</v>
      </c>
      <c r="H18" s="186">
        <f t="shared" si="1"/>
        <v>6881.7763157894733</v>
      </c>
      <c r="I18" s="187">
        <v>41841.199999999997</v>
      </c>
      <c r="J18" s="186">
        <f t="shared" si="4"/>
        <v>34118.223684210527</v>
      </c>
      <c r="K18" s="187">
        <f t="shared" si="5"/>
        <v>207438.8</v>
      </c>
      <c r="M18" s="187">
        <v>20</v>
      </c>
      <c r="N18" s="232">
        <f t="shared" si="6"/>
        <v>50209.439999999995</v>
      </c>
      <c r="O18" s="233">
        <v>47520</v>
      </c>
      <c r="P18" s="234">
        <f t="shared" si="7"/>
        <v>-201760</v>
      </c>
      <c r="Q18" s="234">
        <v>31165.5</v>
      </c>
    </row>
    <row r="19" spans="1:19" s="232" customFormat="1" ht="40.5">
      <c r="A19" s="310">
        <v>7</v>
      </c>
      <c r="B19" s="311" t="s">
        <v>193</v>
      </c>
      <c r="C19" s="307">
        <v>6700</v>
      </c>
      <c r="D19" s="307">
        <v>8</v>
      </c>
      <c r="E19" s="307">
        <v>760</v>
      </c>
      <c r="F19" s="312">
        <f>E19*D19</f>
        <v>6080</v>
      </c>
      <c r="G19" s="313">
        <f>F19*C19/1000</f>
        <v>40736</v>
      </c>
      <c r="H19" s="186">
        <f t="shared" si="1"/>
        <v>3193.6842105263154</v>
      </c>
      <c r="I19" s="187">
        <v>19417.599999999999</v>
      </c>
      <c r="J19" s="186">
        <f t="shared" si="4"/>
        <v>3506.3157894736846</v>
      </c>
      <c r="K19" s="187">
        <f t="shared" si="5"/>
        <v>21318.400000000001</v>
      </c>
      <c r="M19" s="187">
        <v>29.4</v>
      </c>
      <c r="N19" s="232">
        <f t="shared" si="6"/>
        <v>25126.374399999997</v>
      </c>
      <c r="O19" s="233">
        <v>16800</v>
      </c>
      <c r="P19" s="234">
        <f t="shared" si="7"/>
        <v>-23936</v>
      </c>
      <c r="Q19" s="234">
        <v>11526.9</v>
      </c>
    </row>
    <row r="20" spans="1:19" s="232" customFormat="1" ht="54">
      <c r="A20" s="310">
        <v>8</v>
      </c>
      <c r="B20" s="311" t="s">
        <v>194</v>
      </c>
      <c r="C20" s="307">
        <v>8500.6032894737</v>
      </c>
      <c r="D20" s="307">
        <v>8</v>
      </c>
      <c r="E20" s="307">
        <v>760</v>
      </c>
      <c r="F20" s="312">
        <f t="shared" si="2"/>
        <v>6080</v>
      </c>
      <c r="G20" s="313">
        <f t="shared" si="3"/>
        <v>51683.6680000001</v>
      </c>
      <c r="H20" s="186">
        <f t="shared" si="1"/>
        <v>6596.72697368421</v>
      </c>
      <c r="I20" s="187">
        <v>40108.1</v>
      </c>
      <c r="J20" s="186">
        <f t="shared" si="4"/>
        <v>1903.87631578949</v>
      </c>
      <c r="K20" s="187">
        <f t="shared" si="5"/>
        <v>11575.568000000101</v>
      </c>
      <c r="M20" s="187">
        <v>22.7</v>
      </c>
      <c r="N20" s="232">
        <f t="shared" si="6"/>
        <v>49212.638699999996</v>
      </c>
      <c r="O20" s="233">
        <v>35000</v>
      </c>
      <c r="P20" s="234">
        <f t="shared" si="7"/>
        <v>-16683.6680000001</v>
      </c>
      <c r="Q20" s="234">
        <v>26387.5</v>
      </c>
    </row>
    <row r="21" spans="1:19" s="211" customFormat="1" ht="40.5">
      <c r="A21" s="310">
        <v>9</v>
      </c>
      <c r="B21" s="311" t="s">
        <v>195</v>
      </c>
      <c r="C21" s="307">
        <v>12033.084375</v>
      </c>
      <c r="D21" s="307">
        <v>8</v>
      </c>
      <c r="E21" s="307">
        <v>760</v>
      </c>
      <c r="F21" s="312">
        <f t="shared" si="2"/>
        <v>6080</v>
      </c>
      <c r="G21" s="313">
        <f t="shared" si="3"/>
        <v>73161.153000000006</v>
      </c>
      <c r="H21" s="186">
        <f t="shared" si="1"/>
        <v>6460.5592105263149</v>
      </c>
      <c r="I21" s="187">
        <v>39280.199999999997</v>
      </c>
      <c r="J21" s="186">
        <f t="shared" si="4"/>
        <v>5572.5251644736854</v>
      </c>
      <c r="K21" s="187">
        <f t="shared" si="5"/>
        <v>33880.953000000009</v>
      </c>
      <c r="M21" s="187">
        <v>32.1</v>
      </c>
      <c r="N21" s="232">
        <f t="shared" si="6"/>
        <v>51889.144199999995</v>
      </c>
      <c r="O21" s="217">
        <v>38728</v>
      </c>
      <c r="P21" s="234">
        <f t="shared" si="7"/>
        <v>-34433.153000000006</v>
      </c>
      <c r="Q21" s="218">
        <v>23423.9</v>
      </c>
      <c r="S21" s="232"/>
    </row>
    <row r="22" spans="1:19" s="232" customFormat="1" ht="40.5">
      <c r="A22" s="310">
        <v>10</v>
      </c>
      <c r="B22" s="311" t="s">
        <v>196</v>
      </c>
      <c r="C22" s="307">
        <v>7169.8810855263155</v>
      </c>
      <c r="D22" s="307">
        <v>8</v>
      </c>
      <c r="E22" s="307">
        <v>760</v>
      </c>
      <c r="F22" s="312">
        <f t="shared" si="2"/>
        <v>6080</v>
      </c>
      <c r="G22" s="313">
        <f t="shared" si="3"/>
        <v>43592.877</v>
      </c>
      <c r="H22" s="186">
        <f t="shared" si="1"/>
        <v>3923.2401315789471</v>
      </c>
      <c r="I22" s="187">
        <v>23853.3</v>
      </c>
      <c r="J22" s="186">
        <f t="shared" si="4"/>
        <v>3246.6409539473684</v>
      </c>
      <c r="K22" s="187">
        <f t="shared" si="5"/>
        <v>19739.577000000001</v>
      </c>
      <c r="M22" s="187">
        <v>-13.7</v>
      </c>
      <c r="N22" s="232">
        <f t="shared" si="6"/>
        <v>20585.3979</v>
      </c>
      <c r="O22" s="233">
        <v>17760</v>
      </c>
      <c r="P22" s="234">
        <f t="shared" si="7"/>
        <v>-25832.877</v>
      </c>
      <c r="Q22" s="234">
        <v>15604.9</v>
      </c>
    </row>
    <row r="23" spans="1:19" s="232" customFormat="1" ht="40.5">
      <c r="A23" s="310">
        <v>11</v>
      </c>
      <c r="B23" s="311" t="s">
        <v>197</v>
      </c>
      <c r="C23" s="307">
        <v>10000</v>
      </c>
      <c r="D23" s="307">
        <v>8</v>
      </c>
      <c r="E23" s="307">
        <v>760</v>
      </c>
      <c r="F23" s="312">
        <f t="shared" si="2"/>
        <v>6080</v>
      </c>
      <c r="G23" s="313">
        <f t="shared" si="3"/>
        <v>60800</v>
      </c>
      <c r="H23" s="186">
        <f t="shared" si="1"/>
        <v>6786.7763157894733</v>
      </c>
      <c r="I23" s="187">
        <v>41263.599999999999</v>
      </c>
      <c r="J23" s="186">
        <f t="shared" si="4"/>
        <v>3213.2236842105267</v>
      </c>
      <c r="K23" s="187">
        <f t="shared" si="5"/>
        <v>19536.400000000001</v>
      </c>
      <c r="M23" s="187">
        <v>26.1</v>
      </c>
      <c r="N23" s="232">
        <f t="shared" si="6"/>
        <v>52033.399599999997</v>
      </c>
      <c r="O23" s="233">
        <v>28000</v>
      </c>
      <c r="P23" s="234">
        <f t="shared" si="7"/>
        <v>-32800</v>
      </c>
      <c r="Q23" s="234">
        <v>21655.200000000001</v>
      </c>
    </row>
    <row r="24" spans="1:19" s="232" customFormat="1" ht="40.5">
      <c r="A24" s="310">
        <v>12</v>
      </c>
      <c r="B24" s="311" t="s">
        <v>198</v>
      </c>
      <c r="C24" s="307">
        <v>12070</v>
      </c>
      <c r="D24" s="307">
        <v>8</v>
      </c>
      <c r="E24" s="307">
        <v>760</v>
      </c>
      <c r="F24" s="312">
        <f t="shared" si="2"/>
        <v>6080</v>
      </c>
      <c r="G24" s="313">
        <f t="shared" si="3"/>
        <v>73385.600000000006</v>
      </c>
      <c r="H24" s="186">
        <f t="shared" si="1"/>
        <v>7373.4046052631584</v>
      </c>
      <c r="I24" s="187">
        <v>44830.3</v>
      </c>
      <c r="J24" s="186">
        <f t="shared" si="4"/>
        <v>4696.5953947368416</v>
      </c>
      <c r="K24" s="187">
        <f t="shared" si="5"/>
        <v>28555.300000000003</v>
      </c>
      <c r="M24" s="187">
        <v>24.5</v>
      </c>
      <c r="N24" s="232">
        <f t="shared" si="6"/>
        <v>55813.723500000007</v>
      </c>
      <c r="O24" s="233">
        <v>30960</v>
      </c>
      <c r="P24" s="234">
        <f t="shared" si="7"/>
        <v>-42425.600000000006</v>
      </c>
      <c r="Q24" s="234">
        <v>28960.400000000001</v>
      </c>
    </row>
    <row r="25" spans="1:19" s="211" customFormat="1" ht="40.5">
      <c r="A25" s="310">
        <v>13</v>
      </c>
      <c r="B25" s="311" t="s">
        <v>199</v>
      </c>
      <c r="C25" s="307">
        <v>12000</v>
      </c>
      <c r="D25" s="307">
        <v>8</v>
      </c>
      <c r="E25" s="307">
        <v>760</v>
      </c>
      <c r="F25" s="312">
        <f t="shared" si="2"/>
        <v>6080</v>
      </c>
      <c r="G25" s="313">
        <f t="shared" si="3"/>
        <v>72960</v>
      </c>
      <c r="H25" s="186">
        <f t="shared" si="1"/>
        <v>7158.2565789473674</v>
      </c>
      <c r="I25" s="187">
        <v>43522.2</v>
      </c>
      <c r="J25" s="186">
        <f t="shared" si="4"/>
        <v>4841.7434210526326</v>
      </c>
      <c r="K25" s="187">
        <f t="shared" si="5"/>
        <v>29437.800000000003</v>
      </c>
      <c r="M25" s="187">
        <v>20.7</v>
      </c>
      <c r="N25" s="232">
        <f t="shared" si="6"/>
        <v>52531.295399999995</v>
      </c>
      <c r="O25" s="217">
        <v>27720</v>
      </c>
      <c r="P25" s="234">
        <f t="shared" si="7"/>
        <v>-45240</v>
      </c>
      <c r="Q25" s="218">
        <v>25145.200000000001</v>
      </c>
      <c r="S25" s="232"/>
    </row>
    <row r="26" spans="1:19" s="232" customFormat="1" ht="40.5">
      <c r="A26" s="310">
        <v>14</v>
      </c>
      <c r="B26" s="311" t="s">
        <v>200</v>
      </c>
      <c r="C26" s="307">
        <v>4000</v>
      </c>
      <c r="D26" s="307">
        <v>8</v>
      </c>
      <c r="E26" s="307">
        <v>760</v>
      </c>
      <c r="F26" s="312">
        <f t="shared" si="2"/>
        <v>6080</v>
      </c>
      <c r="G26" s="313">
        <f t="shared" si="3"/>
        <v>24320</v>
      </c>
      <c r="H26" s="186">
        <f t="shared" si="1"/>
        <v>2862.2203947368421</v>
      </c>
      <c r="I26" s="187">
        <v>17402.3</v>
      </c>
      <c r="J26" s="186">
        <f>C26-H26</f>
        <v>1137.7796052631579</v>
      </c>
      <c r="K26" s="187">
        <f>G26-I26</f>
        <v>6917.7000000000007</v>
      </c>
      <c r="M26" s="187">
        <v>18.8</v>
      </c>
      <c r="N26" s="232">
        <f t="shared" si="6"/>
        <v>20673.932399999998</v>
      </c>
      <c r="O26" s="233">
        <v>15232</v>
      </c>
      <c r="P26" s="234">
        <f t="shared" si="7"/>
        <v>-9088</v>
      </c>
      <c r="Q26" s="234">
        <v>12450.4</v>
      </c>
    </row>
    <row r="27" spans="1:19" s="211" customFormat="1" ht="40.5">
      <c r="A27" s="310">
        <v>15</v>
      </c>
      <c r="B27" s="311" t="s">
        <v>201</v>
      </c>
      <c r="C27" s="307">
        <v>4000</v>
      </c>
      <c r="D27" s="307">
        <v>8</v>
      </c>
      <c r="E27" s="307">
        <v>760</v>
      </c>
      <c r="F27" s="312">
        <f>E27*D27</f>
        <v>6080</v>
      </c>
      <c r="G27" s="313">
        <f>F27*C27/1000</f>
        <v>24320</v>
      </c>
      <c r="H27" s="186">
        <f t="shared" si="1"/>
        <v>3234.0131578947367</v>
      </c>
      <c r="I27" s="187">
        <v>19662.8</v>
      </c>
      <c r="J27" s="186">
        <f t="shared" si="4"/>
        <v>765.98684210526335</v>
      </c>
      <c r="K27" s="187">
        <f t="shared" si="5"/>
        <v>4657.2000000000007</v>
      </c>
      <c r="M27" s="187">
        <v>43.2</v>
      </c>
      <c r="N27" s="232">
        <f t="shared" si="6"/>
        <v>28157.1296</v>
      </c>
      <c r="O27" s="217">
        <v>13440</v>
      </c>
      <c r="P27" s="234">
        <f t="shared" si="7"/>
        <v>-10880</v>
      </c>
      <c r="Q27" s="218">
        <v>9320.6</v>
      </c>
      <c r="S27" s="232"/>
    </row>
    <row r="28" spans="1:19">
      <c r="A28" s="310">
        <v>16</v>
      </c>
      <c r="B28" s="311" t="s">
        <v>153</v>
      </c>
      <c r="C28" s="307">
        <v>15076.6</v>
      </c>
      <c r="D28" s="307">
        <v>8</v>
      </c>
      <c r="E28" s="307">
        <v>760</v>
      </c>
      <c r="F28" s="312">
        <f>E28*D28</f>
        <v>6080</v>
      </c>
      <c r="G28" s="313">
        <f>F28*C28/1000</f>
        <v>91665.728000000003</v>
      </c>
      <c r="H28" s="186">
        <f t="shared" si="1"/>
        <v>6847.4671052631575</v>
      </c>
      <c r="I28" s="187">
        <v>41632.6</v>
      </c>
      <c r="J28" s="186">
        <f t="shared" ref="J28" si="8">C28-H28</f>
        <v>8229.132894736842</v>
      </c>
      <c r="K28" s="187">
        <f>G28-I28</f>
        <v>50033.128000000004</v>
      </c>
      <c r="O28" s="236">
        <v>38400</v>
      </c>
      <c r="P28" s="234">
        <f t="shared" ref="P28" si="9">+O28-G28</f>
        <v>-53265.728000000003</v>
      </c>
      <c r="Q28" s="237">
        <v>0</v>
      </c>
      <c r="S28" s="232"/>
    </row>
    <row r="29" spans="1:19">
      <c r="A29" s="310">
        <v>17</v>
      </c>
      <c r="B29" s="311" t="s">
        <v>191</v>
      </c>
      <c r="C29" s="307">
        <v>5593</v>
      </c>
      <c r="D29" s="307">
        <v>8</v>
      </c>
      <c r="E29" s="307">
        <v>760</v>
      </c>
      <c r="F29" s="312">
        <f>E29*D29</f>
        <v>6080</v>
      </c>
      <c r="G29" s="313">
        <f>F29*C29/1000</f>
        <v>34005.440000000002</v>
      </c>
      <c r="H29" s="186">
        <f t="shared" si="1"/>
        <v>1817.2532894736842</v>
      </c>
      <c r="I29" s="187">
        <v>11048.9</v>
      </c>
      <c r="J29" s="186">
        <f>C29-H29</f>
        <v>3775.7467105263158</v>
      </c>
      <c r="K29" s="187">
        <f>G29-I29</f>
        <v>22956.54</v>
      </c>
      <c r="O29" s="236">
        <v>38400</v>
      </c>
      <c r="P29" s="234">
        <f>+O29-G29</f>
        <v>4394.5599999999977</v>
      </c>
      <c r="Q29" s="237">
        <v>0</v>
      </c>
      <c r="S29" s="232"/>
    </row>
    <row r="30" spans="1:19" s="232" customFormat="1" ht="27">
      <c r="A30" s="310">
        <v>18</v>
      </c>
      <c r="B30" s="311" t="s">
        <v>192</v>
      </c>
      <c r="C30" s="307">
        <v>1650</v>
      </c>
      <c r="D30" s="307">
        <v>8</v>
      </c>
      <c r="E30" s="307">
        <v>760</v>
      </c>
      <c r="F30" s="312">
        <f t="shared" ref="F30:F32" si="10">E30*D30</f>
        <v>6080</v>
      </c>
      <c r="G30" s="313">
        <f t="shared" ref="G30" si="11">F30*C30/1000</f>
        <v>10032</v>
      </c>
      <c r="H30" s="186">
        <f t="shared" si="1"/>
        <v>2205.5098684210525</v>
      </c>
      <c r="I30" s="187">
        <v>13409.5</v>
      </c>
      <c r="J30" s="186">
        <f t="shared" ref="J30" si="12">C30-H30</f>
        <v>-555.50986842105249</v>
      </c>
      <c r="K30" s="187">
        <f t="shared" ref="K30" si="13">G30-I30</f>
        <v>-3377.5</v>
      </c>
      <c r="M30" s="187">
        <v>30.2</v>
      </c>
      <c r="N30" s="232">
        <f t="shared" ref="N30" si="14">+I30+I30*M30/100</f>
        <v>17459.169000000002</v>
      </c>
      <c r="O30" s="233">
        <v>10560</v>
      </c>
      <c r="P30" s="234">
        <f t="shared" ref="P30" si="15">+O30-G30</f>
        <v>528</v>
      </c>
      <c r="Q30" s="234">
        <v>9794.2999999999993</v>
      </c>
    </row>
    <row r="31" spans="1:19" s="232" customFormat="1" ht="54">
      <c r="A31" s="310">
        <v>19</v>
      </c>
      <c r="B31" s="311" t="s">
        <v>202</v>
      </c>
      <c r="C31" s="307">
        <v>22114</v>
      </c>
      <c r="D31" s="307">
        <v>8</v>
      </c>
      <c r="E31" s="307">
        <v>760</v>
      </c>
      <c r="F31" s="312">
        <f t="shared" si="10"/>
        <v>6080</v>
      </c>
      <c r="G31" s="313">
        <f>F31*C31/1000</f>
        <v>134453.12</v>
      </c>
      <c r="H31" s="186">
        <f t="shared" si="1"/>
        <v>20645.509868421053</v>
      </c>
      <c r="I31" s="187">
        <v>125524.7</v>
      </c>
      <c r="J31" s="186">
        <f>C31-H31</f>
        <v>1468.4901315789466</v>
      </c>
      <c r="K31" s="187">
        <f>G31-I31</f>
        <v>8928.4199999999983</v>
      </c>
      <c r="M31" s="187">
        <v>15.9</v>
      </c>
      <c r="N31" s="232">
        <f>+I31+I31*M31/100</f>
        <v>145483.12729999999</v>
      </c>
      <c r="O31" s="233">
        <v>154709.1</v>
      </c>
      <c r="P31" s="234">
        <f>+O31-G31</f>
        <v>20255.98000000001</v>
      </c>
      <c r="Q31" s="234">
        <v>128522.6</v>
      </c>
    </row>
    <row r="32" spans="1:19" s="232" customFormat="1" ht="54">
      <c r="A32" s="310">
        <v>20</v>
      </c>
      <c r="B32" s="311" t="s">
        <v>203</v>
      </c>
      <c r="C32" s="307">
        <v>16331.381218421058</v>
      </c>
      <c r="D32" s="307">
        <v>8</v>
      </c>
      <c r="E32" s="307">
        <v>760</v>
      </c>
      <c r="F32" s="312">
        <f t="shared" si="10"/>
        <v>6080</v>
      </c>
      <c r="G32" s="313">
        <f>F32*C32/1000</f>
        <v>99294.797808000032</v>
      </c>
      <c r="H32" s="186">
        <f t="shared" si="1"/>
        <v>8836.1513157894733</v>
      </c>
      <c r="I32" s="187">
        <v>53723.8</v>
      </c>
      <c r="J32" s="186">
        <f>C32-H32</f>
        <v>7495.229902631585</v>
      </c>
      <c r="K32" s="187">
        <f>G32-I32</f>
        <v>45570.997808000029</v>
      </c>
      <c r="M32" s="187">
        <v>15.9</v>
      </c>
      <c r="N32" s="232">
        <f>+I32+I32*M32/100</f>
        <v>62265.8842</v>
      </c>
      <c r="O32" s="233">
        <v>154709.1</v>
      </c>
      <c r="P32" s="234">
        <f>+O32-G32</f>
        <v>55414.302191999974</v>
      </c>
      <c r="Q32" s="234">
        <v>128522.6</v>
      </c>
    </row>
    <row r="33" spans="13:13">
      <c r="M33" s="235">
        <v>20.8</v>
      </c>
    </row>
  </sheetData>
  <mergeCells count="9">
    <mergeCell ref="H8:I8"/>
    <mergeCell ref="J8:K8"/>
    <mergeCell ref="C8:G8"/>
    <mergeCell ref="B1:F1"/>
    <mergeCell ref="I2:K2"/>
    <mergeCell ref="A5:K5"/>
    <mergeCell ref="A6:K6"/>
    <mergeCell ref="A8:A9"/>
    <mergeCell ref="B8:B9"/>
  </mergeCells>
  <conditionalFormatting sqref="B31 B14:B27">
    <cfRule type="cellIs" dxfId="15" priority="11" stopIfTrue="1" operator="equal">
      <formula>0</formula>
    </cfRule>
  </conditionalFormatting>
  <conditionalFormatting sqref="B29">
    <cfRule type="cellIs" dxfId="14" priority="6" stopIfTrue="1" operator="equal">
      <formula>0</formula>
    </cfRule>
  </conditionalFormatting>
  <conditionalFormatting sqref="B13">
    <cfRule type="cellIs" dxfId="13" priority="4" stopIfTrue="1" operator="equal">
      <formula>0</formula>
    </cfRule>
  </conditionalFormatting>
  <conditionalFormatting sqref="B28">
    <cfRule type="cellIs" dxfId="12" priority="3" stopIfTrue="1" operator="equal">
      <formula>0</formula>
    </cfRule>
  </conditionalFormatting>
  <conditionalFormatting sqref="B32">
    <cfRule type="cellIs" dxfId="11" priority="2" stopIfTrue="1" operator="equal">
      <formula>0</formula>
    </cfRule>
  </conditionalFormatting>
  <conditionalFormatting sqref="B30">
    <cfRule type="cellIs" dxfId="10" priority="1" stopIfTrue="1" operator="equal">
      <formula>0</formula>
    </cfRule>
  </conditionalFormatting>
  <pageMargins left="0.47244094488188981" right="0.23622047244094491" top="0.26" bottom="0.23" header="0.15748031496062992" footer="0.16"/>
  <pageSetup paperSize="9" scale="57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W30"/>
  <sheetViews>
    <sheetView topLeftCell="D1" zoomScaleNormal="100" workbookViewId="0">
      <selection activeCell="G21" sqref="G21"/>
    </sheetView>
  </sheetViews>
  <sheetFormatPr defaultColWidth="8.42578125" defaultRowHeight="13.5"/>
  <cols>
    <col min="1" max="1" width="3.7109375" style="55" customWidth="1"/>
    <col min="2" max="2" width="23.5703125" style="55" customWidth="1"/>
    <col min="3" max="3" width="7.140625" style="55" customWidth="1"/>
    <col min="4" max="4" width="6" style="55" customWidth="1"/>
    <col min="5" max="5" width="9" style="55" customWidth="1"/>
    <col min="6" max="6" width="8.7109375" style="55" customWidth="1"/>
    <col min="7" max="7" width="10" style="55" customWidth="1"/>
    <col min="8" max="8" width="7.7109375" style="55" customWidth="1"/>
    <col min="9" max="9" width="9.140625" style="55" bestFit="1" customWidth="1"/>
    <col min="10" max="10" width="8.42578125" style="55" customWidth="1"/>
    <col min="11" max="11" width="8.85546875" style="55" bestFit="1" customWidth="1"/>
    <col min="12" max="12" width="9.85546875" style="55" bestFit="1" customWidth="1"/>
    <col min="13" max="13" width="9.5703125" style="55" customWidth="1"/>
    <col min="14" max="14" width="6.7109375" style="55" customWidth="1"/>
    <col min="15" max="15" width="8" style="55" customWidth="1"/>
    <col min="16" max="16" width="9.28515625" style="55" bestFit="1" customWidth="1"/>
    <col min="17" max="17" width="8.5703125" style="55" bestFit="1" customWidth="1"/>
    <col min="18" max="18" width="13.42578125" style="55" customWidth="1"/>
    <col min="19" max="248" width="9.140625" style="55" customWidth="1"/>
    <col min="249" max="249" width="2.28515625" style="55" customWidth="1"/>
    <col min="250" max="250" width="21.85546875" style="55" customWidth="1"/>
    <col min="251" max="16384" width="8.42578125" style="55"/>
  </cols>
  <sheetData>
    <row r="1" spans="1:23" s="7" customFormat="1" ht="23.25" customHeight="1">
      <c r="A1" s="4"/>
      <c r="B1" s="317"/>
      <c r="C1" s="356"/>
      <c r="D1" s="356"/>
      <c r="E1" s="356"/>
      <c r="F1" s="356"/>
      <c r="G1" s="22"/>
      <c r="H1" s="22"/>
      <c r="I1" s="5"/>
      <c r="J1" s="5"/>
      <c r="K1" s="5"/>
      <c r="L1" s="5"/>
      <c r="Q1" s="5"/>
      <c r="R1" s="169" t="s">
        <v>47</v>
      </c>
      <c r="S1" s="22"/>
    </row>
    <row r="2" spans="1:23" s="7" customFormat="1" ht="15" customHeight="1">
      <c r="A2" s="4"/>
      <c r="B2" s="168"/>
      <c r="C2" s="8"/>
      <c r="D2" s="8"/>
      <c r="E2" s="8"/>
      <c r="F2" s="22"/>
      <c r="G2" s="22"/>
      <c r="H2" s="22"/>
      <c r="I2" s="5"/>
      <c r="J2" s="5"/>
      <c r="K2" s="5"/>
      <c r="L2" s="5"/>
      <c r="Q2" s="314" t="s">
        <v>21</v>
      </c>
      <c r="R2" s="314"/>
      <c r="S2" s="314"/>
    </row>
    <row r="3" spans="1:23" s="7" customFormat="1" ht="48" customHeight="1" thickBot="1">
      <c r="B3" s="9" t="s">
        <v>65</v>
      </c>
      <c r="C3" s="353" t="s">
        <v>159</v>
      </c>
      <c r="D3" s="353"/>
      <c r="E3" s="353"/>
      <c r="F3" s="353"/>
      <c r="G3" s="353"/>
      <c r="H3" s="353"/>
      <c r="I3" s="5"/>
      <c r="J3" s="5"/>
      <c r="K3" s="5"/>
      <c r="L3" s="5"/>
    </row>
    <row r="4" spans="1:23" s="7" customFormat="1">
      <c r="A4" s="4"/>
      <c r="B4" s="22"/>
      <c r="C4" s="22"/>
      <c r="D4" s="25"/>
      <c r="E4" s="25"/>
      <c r="F4" s="22"/>
      <c r="G4" s="22"/>
      <c r="H4" s="22"/>
      <c r="I4" s="26"/>
      <c r="J4" s="5"/>
      <c r="K4" s="5"/>
      <c r="L4" s="5"/>
      <c r="M4" s="5"/>
    </row>
    <row r="5" spans="1:23" s="14" customFormat="1" ht="15" customHeight="1">
      <c r="A5" s="337" t="s">
        <v>22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</row>
    <row r="6" spans="1:23" s="14" customFormat="1" ht="15" customHeight="1">
      <c r="A6" s="337" t="s">
        <v>212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</row>
    <row r="7" spans="1:23" s="14" customFormat="1" ht="12.75">
      <c r="A7" s="6"/>
      <c r="B7" s="29"/>
      <c r="C7" s="29"/>
      <c r="D7" s="29"/>
      <c r="E7" s="29"/>
      <c r="F7" s="29"/>
      <c r="G7" s="29"/>
      <c r="H7" s="29"/>
      <c r="I7" s="6"/>
      <c r="J7" s="6"/>
      <c r="K7" s="6"/>
      <c r="L7" s="6"/>
      <c r="O7" s="6"/>
      <c r="P7" s="6"/>
    </row>
    <row r="8" spans="1:23" s="7" customFormat="1">
      <c r="A8" s="5"/>
      <c r="B8" s="30"/>
      <c r="C8" s="25"/>
      <c r="D8" s="25"/>
      <c r="E8" s="25"/>
      <c r="F8" s="25"/>
      <c r="G8" s="25"/>
      <c r="H8" s="25"/>
      <c r="I8" s="5"/>
    </row>
    <row r="9" spans="1:23" s="7" customFormat="1" ht="12.75" customHeight="1">
      <c r="A9" s="343" t="s">
        <v>0</v>
      </c>
      <c r="B9" s="343" t="s">
        <v>54</v>
      </c>
      <c r="C9" s="343" t="s">
        <v>55</v>
      </c>
      <c r="D9" s="345" t="s">
        <v>56</v>
      </c>
      <c r="E9" s="346"/>
      <c r="F9" s="346"/>
      <c r="G9" s="347"/>
      <c r="H9" s="345" t="s">
        <v>57</v>
      </c>
      <c r="I9" s="346"/>
      <c r="J9" s="346"/>
      <c r="K9" s="346"/>
      <c r="L9" s="346"/>
      <c r="M9" s="347"/>
      <c r="N9" s="345" t="s">
        <v>58</v>
      </c>
      <c r="O9" s="346"/>
      <c r="P9" s="346"/>
      <c r="Q9" s="346"/>
      <c r="R9" s="347"/>
      <c r="S9" s="343" t="s">
        <v>118</v>
      </c>
      <c r="T9" s="343" t="s">
        <v>119</v>
      </c>
      <c r="U9" s="343" t="s">
        <v>120</v>
      </c>
      <c r="V9" s="343" t="s">
        <v>121</v>
      </c>
      <c r="W9" s="343" t="s">
        <v>122</v>
      </c>
    </row>
    <row r="10" spans="1:23" s="14" customFormat="1" ht="63.75">
      <c r="A10" s="344"/>
      <c r="B10" s="344"/>
      <c r="C10" s="344"/>
      <c r="D10" s="53" t="s">
        <v>59</v>
      </c>
      <c r="E10" s="53" t="s">
        <v>60</v>
      </c>
      <c r="F10" s="53" t="s">
        <v>123</v>
      </c>
      <c r="G10" s="53" t="s">
        <v>216</v>
      </c>
      <c r="H10" s="53" t="s">
        <v>61</v>
      </c>
      <c r="I10" s="53" t="s">
        <v>170</v>
      </c>
      <c r="J10" s="53" t="s">
        <v>124</v>
      </c>
      <c r="K10" s="53" t="s">
        <v>171</v>
      </c>
      <c r="L10" s="53" t="s">
        <v>172</v>
      </c>
      <c r="M10" s="53" t="s">
        <v>217</v>
      </c>
      <c r="N10" s="53" t="s">
        <v>63</v>
      </c>
      <c r="O10" s="53" t="s">
        <v>64</v>
      </c>
      <c r="P10" s="53" t="s">
        <v>173</v>
      </c>
      <c r="Q10" s="54" t="s">
        <v>125</v>
      </c>
      <c r="R10" s="53" t="s">
        <v>215</v>
      </c>
      <c r="S10" s="344"/>
      <c r="T10" s="344"/>
      <c r="U10" s="344"/>
      <c r="V10" s="344"/>
      <c r="W10" s="344"/>
    </row>
    <row r="11" spans="1:23" s="7" customFormat="1">
      <c r="A11" s="170" t="s">
        <v>117</v>
      </c>
      <c r="B11" s="170" t="s">
        <v>2</v>
      </c>
      <c r="C11" s="170" t="s">
        <v>3</v>
      </c>
      <c r="D11" s="170" t="s">
        <v>4</v>
      </c>
      <c r="E11" s="170" t="s">
        <v>19</v>
      </c>
      <c r="F11" s="170" t="s">
        <v>18</v>
      </c>
      <c r="G11" s="170" t="s">
        <v>17</v>
      </c>
      <c r="H11" s="170" t="s">
        <v>16</v>
      </c>
      <c r="I11" s="170" t="s">
        <v>5</v>
      </c>
      <c r="J11" s="170" t="s">
        <v>6</v>
      </c>
      <c r="K11" s="170" t="s">
        <v>15</v>
      </c>
      <c r="L11" s="170" t="s">
        <v>20</v>
      </c>
      <c r="M11" s="170" t="s">
        <v>126</v>
      </c>
      <c r="N11" s="170" t="s">
        <v>0</v>
      </c>
      <c r="O11" s="170" t="s">
        <v>14</v>
      </c>
      <c r="P11" s="170" t="s">
        <v>127</v>
      </c>
      <c r="Q11" s="170" t="s">
        <v>7</v>
      </c>
      <c r="R11" s="170" t="s">
        <v>8</v>
      </c>
      <c r="S11" s="170" t="s">
        <v>9</v>
      </c>
      <c r="T11" s="170" t="s">
        <v>10</v>
      </c>
      <c r="U11" s="170" t="s">
        <v>11</v>
      </c>
      <c r="V11" s="170" t="s">
        <v>13</v>
      </c>
      <c r="W11" s="170" t="s">
        <v>128</v>
      </c>
    </row>
    <row r="12" spans="1:23" s="281" customFormat="1">
      <c r="A12" s="283">
        <v>1</v>
      </c>
      <c r="B12" s="171" t="s">
        <v>66</v>
      </c>
      <c r="C12" s="287">
        <v>1</v>
      </c>
      <c r="D12" s="287">
        <v>1</v>
      </c>
      <c r="E12" s="171">
        <v>2083.3000000000002</v>
      </c>
      <c r="F12" s="171">
        <f t="shared" ref="F12:F18" si="0">D12*E12</f>
        <v>2083.3000000000002</v>
      </c>
      <c r="G12" s="171">
        <f>F12*12/1000</f>
        <v>24.999600000000001</v>
      </c>
      <c r="H12" s="171">
        <v>2250</v>
      </c>
      <c r="I12" s="171">
        <f t="shared" ref="I12:I17" si="1">H12*C12</f>
        <v>2250</v>
      </c>
      <c r="J12" s="171">
        <f t="shared" ref="J12:J18" si="2">I12-D12*360</f>
        <v>1890</v>
      </c>
      <c r="K12" s="271">
        <f>+J12*5</f>
        <v>9450</v>
      </c>
      <c r="L12" s="171">
        <f>+K12</f>
        <v>9450</v>
      </c>
      <c r="M12" s="171">
        <f>L12*12/1000</f>
        <v>113.4</v>
      </c>
      <c r="N12" s="271">
        <v>10</v>
      </c>
      <c r="O12" s="171">
        <v>10</v>
      </c>
      <c r="P12" s="171">
        <f t="shared" ref="P12:P18" si="3">(N12+O12)*1000*C12</f>
        <v>20000</v>
      </c>
      <c r="Q12" s="171">
        <f>P12*20%</f>
        <v>4000</v>
      </c>
      <c r="R12" s="171">
        <f>(P12+Q12)*12/1000</f>
        <v>288</v>
      </c>
      <c r="S12" s="171">
        <f t="shared" ref="S12:S18" si="4">G12+M12+R12</f>
        <v>426.39960000000002</v>
      </c>
      <c r="T12" s="171"/>
      <c r="U12" s="171"/>
      <c r="V12" s="171"/>
      <c r="W12" s="171">
        <f>+(S12+T12+U12+V12)</f>
        <v>426.39960000000002</v>
      </c>
    </row>
    <row r="13" spans="1:23" s="281" customFormat="1">
      <c r="A13" s="283">
        <v>2</v>
      </c>
      <c r="B13" s="171" t="s">
        <v>189</v>
      </c>
      <c r="C13" s="287">
        <v>14</v>
      </c>
      <c r="D13" s="287">
        <v>14</v>
      </c>
      <c r="E13" s="171">
        <v>2083.3000000000002</v>
      </c>
      <c r="F13" s="171">
        <f t="shared" si="0"/>
        <v>29166.200000000004</v>
      </c>
      <c r="G13" s="171">
        <f t="shared" ref="G13:G18" si="5">F13*12/1000</f>
        <v>349.99440000000004</v>
      </c>
      <c r="H13" s="171">
        <v>1500</v>
      </c>
      <c r="I13" s="171">
        <f t="shared" si="1"/>
        <v>21000</v>
      </c>
      <c r="J13" s="171">
        <f t="shared" si="2"/>
        <v>15960</v>
      </c>
      <c r="K13" s="271">
        <f t="shared" ref="K13:K18" si="6">+J13*5</f>
        <v>79800</v>
      </c>
      <c r="L13" s="171">
        <f t="shared" ref="L13:L18" si="7">+K13</f>
        <v>79800</v>
      </c>
      <c r="M13" s="171">
        <f t="shared" ref="M13:M18" si="8">L13*12/1000</f>
        <v>957.6</v>
      </c>
      <c r="N13" s="271">
        <v>7</v>
      </c>
      <c r="O13" s="171">
        <v>0</v>
      </c>
      <c r="P13" s="171">
        <f t="shared" si="3"/>
        <v>98000</v>
      </c>
      <c r="Q13" s="171">
        <f t="shared" ref="Q13:Q18" si="9">P13*20%</f>
        <v>19600</v>
      </c>
      <c r="R13" s="171">
        <f t="shared" ref="R13:R18" si="10">(P13+Q13)*12/1000</f>
        <v>1411.2</v>
      </c>
      <c r="S13" s="171">
        <f t="shared" si="4"/>
        <v>2718.7943999999998</v>
      </c>
      <c r="T13" s="171"/>
      <c r="U13" s="171"/>
      <c r="V13" s="171"/>
      <c r="W13" s="171">
        <f t="shared" ref="W13:W18" si="11">+(S13+T13+U13+V13)</f>
        <v>2718.7943999999998</v>
      </c>
    </row>
    <row r="14" spans="1:23" s="281" customFormat="1">
      <c r="A14" s="283">
        <v>3</v>
      </c>
      <c r="B14" s="171" t="s">
        <v>68</v>
      </c>
      <c r="C14" s="287">
        <v>1</v>
      </c>
      <c r="D14" s="287">
        <v>1</v>
      </c>
      <c r="E14" s="171">
        <v>2083.3000000000002</v>
      </c>
      <c r="F14" s="171">
        <f t="shared" si="0"/>
        <v>2083.3000000000002</v>
      </c>
      <c r="G14" s="171">
        <f t="shared" si="5"/>
        <v>24.999600000000001</v>
      </c>
      <c r="H14" s="171">
        <v>1750</v>
      </c>
      <c r="I14" s="171">
        <f t="shared" si="1"/>
        <v>1750</v>
      </c>
      <c r="J14" s="171">
        <f t="shared" si="2"/>
        <v>1390</v>
      </c>
      <c r="K14" s="271">
        <f t="shared" si="6"/>
        <v>6950</v>
      </c>
      <c r="L14" s="171">
        <f t="shared" si="7"/>
        <v>6950</v>
      </c>
      <c r="M14" s="171">
        <f t="shared" si="8"/>
        <v>83.4</v>
      </c>
      <c r="N14" s="271">
        <v>4</v>
      </c>
      <c r="O14" s="171">
        <v>0</v>
      </c>
      <c r="P14" s="171">
        <f t="shared" si="3"/>
        <v>4000</v>
      </c>
      <c r="Q14" s="171">
        <f t="shared" si="9"/>
        <v>800</v>
      </c>
      <c r="R14" s="171">
        <f t="shared" si="10"/>
        <v>57.6</v>
      </c>
      <c r="S14" s="171">
        <f t="shared" si="4"/>
        <v>165.99960000000002</v>
      </c>
      <c r="T14" s="171"/>
      <c r="U14" s="171"/>
      <c r="V14" s="171"/>
      <c r="W14" s="171">
        <f t="shared" si="11"/>
        <v>165.99960000000002</v>
      </c>
    </row>
    <row r="15" spans="1:23" s="281" customFormat="1">
      <c r="A15" s="283">
        <v>4</v>
      </c>
      <c r="B15" s="171" t="s">
        <v>69</v>
      </c>
      <c r="C15" s="287">
        <v>1</v>
      </c>
      <c r="D15" s="287">
        <v>1</v>
      </c>
      <c r="E15" s="171">
        <v>2083.3000000000002</v>
      </c>
      <c r="F15" s="171">
        <f t="shared" si="0"/>
        <v>2083.3000000000002</v>
      </c>
      <c r="G15" s="171">
        <f t="shared" si="5"/>
        <v>24.999600000000001</v>
      </c>
      <c r="H15" s="171">
        <v>1750</v>
      </c>
      <c r="I15" s="171">
        <f t="shared" si="1"/>
        <v>1750</v>
      </c>
      <c r="J15" s="171">
        <f t="shared" si="2"/>
        <v>1390</v>
      </c>
      <c r="K15" s="271">
        <f t="shared" si="6"/>
        <v>6950</v>
      </c>
      <c r="L15" s="171">
        <f t="shared" si="7"/>
        <v>6950</v>
      </c>
      <c r="M15" s="171">
        <f t="shared" si="8"/>
        <v>83.4</v>
      </c>
      <c r="N15" s="271">
        <v>5</v>
      </c>
      <c r="O15" s="171">
        <v>0</v>
      </c>
      <c r="P15" s="171">
        <f t="shared" si="3"/>
        <v>5000</v>
      </c>
      <c r="Q15" s="171">
        <f t="shared" si="9"/>
        <v>1000</v>
      </c>
      <c r="R15" s="171">
        <f t="shared" si="10"/>
        <v>72</v>
      </c>
      <c r="S15" s="171">
        <f t="shared" si="4"/>
        <v>180.39960000000002</v>
      </c>
      <c r="T15" s="171"/>
      <c r="U15" s="171"/>
      <c r="V15" s="171"/>
      <c r="W15" s="171">
        <f t="shared" si="11"/>
        <v>180.39960000000002</v>
      </c>
    </row>
    <row r="16" spans="1:23" s="281" customFormat="1">
      <c r="A16" s="283">
        <v>5</v>
      </c>
      <c r="B16" s="171" t="s">
        <v>70</v>
      </c>
      <c r="C16" s="287">
        <v>1</v>
      </c>
      <c r="D16" s="287">
        <v>1</v>
      </c>
      <c r="E16" s="171">
        <v>2083.3000000000002</v>
      </c>
      <c r="F16" s="171">
        <f t="shared" si="0"/>
        <v>2083.3000000000002</v>
      </c>
      <c r="G16" s="171">
        <f t="shared" si="5"/>
        <v>24.999600000000001</v>
      </c>
      <c r="H16" s="171">
        <v>1250</v>
      </c>
      <c r="I16" s="171">
        <f t="shared" si="1"/>
        <v>1250</v>
      </c>
      <c r="J16" s="171">
        <f t="shared" si="2"/>
        <v>890</v>
      </c>
      <c r="K16" s="271">
        <f t="shared" si="6"/>
        <v>4450</v>
      </c>
      <c r="L16" s="171">
        <f t="shared" si="7"/>
        <v>4450</v>
      </c>
      <c r="M16" s="171">
        <f t="shared" si="8"/>
        <v>53.4</v>
      </c>
      <c r="N16" s="271">
        <v>2</v>
      </c>
      <c r="O16" s="171">
        <v>0</v>
      </c>
      <c r="P16" s="171">
        <f t="shared" si="3"/>
        <v>2000</v>
      </c>
      <c r="Q16" s="171">
        <f t="shared" si="9"/>
        <v>400</v>
      </c>
      <c r="R16" s="171">
        <f t="shared" si="10"/>
        <v>28.8</v>
      </c>
      <c r="S16" s="171">
        <f t="shared" si="4"/>
        <v>107.19959999999999</v>
      </c>
      <c r="T16" s="171"/>
      <c r="U16" s="171"/>
      <c r="V16" s="171"/>
      <c r="W16" s="171">
        <f t="shared" si="11"/>
        <v>107.19959999999999</v>
      </c>
    </row>
    <row r="17" spans="1:23" s="281" customFormat="1">
      <c r="A17" s="283">
        <v>6</v>
      </c>
      <c r="B17" s="276" t="s">
        <v>73</v>
      </c>
      <c r="C17" s="287">
        <v>49</v>
      </c>
      <c r="D17" s="290">
        <v>1</v>
      </c>
      <c r="E17" s="171">
        <v>2083.3000000000002</v>
      </c>
      <c r="F17" s="171">
        <f>D17*E17</f>
        <v>2083.3000000000002</v>
      </c>
      <c r="G17" s="171">
        <f t="shared" si="5"/>
        <v>24.999600000000001</v>
      </c>
      <c r="H17" s="171">
        <v>100</v>
      </c>
      <c r="I17" s="171">
        <f t="shared" si="1"/>
        <v>4900</v>
      </c>
      <c r="J17" s="171"/>
      <c r="K17" s="271">
        <f t="shared" si="6"/>
        <v>0</v>
      </c>
      <c r="L17" s="171">
        <f t="shared" si="7"/>
        <v>0</v>
      </c>
      <c r="M17" s="171">
        <f t="shared" si="8"/>
        <v>0</v>
      </c>
      <c r="N17" s="271">
        <v>0.5</v>
      </c>
      <c r="O17" s="171">
        <v>0</v>
      </c>
      <c r="P17" s="171">
        <f t="shared" si="3"/>
        <v>24500</v>
      </c>
      <c r="Q17" s="171">
        <f>P17*20%</f>
        <v>4900</v>
      </c>
      <c r="R17" s="171">
        <f t="shared" si="10"/>
        <v>352.8</v>
      </c>
      <c r="S17" s="171">
        <f t="shared" si="4"/>
        <v>377.7996</v>
      </c>
      <c r="T17" s="271"/>
      <c r="U17" s="271"/>
      <c r="V17" s="271"/>
      <c r="W17" s="171">
        <f t="shared" si="11"/>
        <v>377.7996</v>
      </c>
    </row>
    <row r="18" spans="1:23" s="281" customFormat="1">
      <c r="A18" s="283">
        <v>7</v>
      </c>
      <c r="B18" s="171" t="s">
        <v>72</v>
      </c>
      <c r="C18" s="289">
        <v>26</v>
      </c>
      <c r="D18" s="287">
        <v>1</v>
      </c>
      <c r="E18" s="171">
        <v>2083.3000000000002</v>
      </c>
      <c r="F18" s="171">
        <f t="shared" si="0"/>
        <v>2083.3000000000002</v>
      </c>
      <c r="G18" s="171">
        <f t="shared" si="5"/>
        <v>24.999600000000001</v>
      </c>
      <c r="H18" s="171">
        <v>360</v>
      </c>
      <c r="I18" s="171">
        <f>H18*D18</f>
        <v>360</v>
      </c>
      <c r="J18" s="171">
        <f t="shared" si="2"/>
        <v>0</v>
      </c>
      <c r="K18" s="271">
        <f t="shared" si="6"/>
        <v>0</v>
      </c>
      <c r="L18" s="171">
        <f t="shared" si="7"/>
        <v>0</v>
      </c>
      <c r="M18" s="171">
        <f t="shared" si="8"/>
        <v>0</v>
      </c>
      <c r="N18" s="271">
        <v>0</v>
      </c>
      <c r="O18" s="171">
        <v>0</v>
      </c>
      <c r="P18" s="171">
        <f t="shared" si="3"/>
        <v>0</v>
      </c>
      <c r="Q18" s="171">
        <f t="shared" si="9"/>
        <v>0</v>
      </c>
      <c r="R18" s="171">
        <f t="shared" si="10"/>
        <v>0</v>
      </c>
      <c r="S18" s="171">
        <f t="shared" si="4"/>
        <v>24.999600000000001</v>
      </c>
      <c r="T18" s="271"/>
      <c r="U18" s="271"/>
      <c r="V18" s="271"/>
      <c r="W18" s="171">
        <f t="shared" si="11"/>
        <v>24.999600000000001</v>
      </c>
    </row>
    <row r="19" spans="1:23" s="281" customFormat="1" ht="16.5">
      <c r="A19" s="272"/>
      <c r="B19" s="277" t="s">
        <v>24</v>
      </c>
      <c r="C19" s="286">
        <f>SUM(C12:C18)</f>
        <v>93</v>
      </c>
      <c r="D19" s="286">
        <f>SUM(D12:D18)</f>
        <v>20</v>
      </c>
      <c r="E19" s="272"/>
      <c r="F19" s="272">
        <f>SUM(F12:F18)</f>
        <v>41666.000000000015</v>
      </c>
      <c r="G19" s="272">
        <f>SUM(G12:G18)</f>
        <v>499.99199999999996</v>
      </c>
      <c r="H19" s="272"/>
      <c r="I19" s="272">
        <f>SUM(I12:I18)</f>
        <v>33260</v>
      </c>
      <c r="J19" s="272"/>
      <c r="K19" s="282"/>
      <c r="L19" s="272">
        <f>SUM(L12:L18)</f>
        <v>107600</v>
      </c>
      <c r="M19" s="272">
        <f>SUM(M12:M18)</f>
        <v>1291.2000000000003</v>
      </c>
      <c r="N19" s="272"/>
      <c r="O19" s="272"/>
      <c r="P19" s="272"/>
      <c r="Q19" s="272"/>
      <c r="R19" s="272">
        <f>SUM(R12:R18)</f>
        <v>2210.4</v>
      </c>
      <c r="S19" s="272">
        <f>(R19+M19+G19)</f>
        <v>4001.5920000000006</v>
      </c>
      <c r="T19" s="280">
        <f>SUM(T11:T16)</f>
        <v>0</v>
      </c>
      <c r="U19" s="280">
        <f>SUM(U11:U16)</f>
        <v>0</v>
      </c>
      <c r="V19" s="280">
        <f>SUM(V11:V16)</f>
        <v>0</v>
      </c>
      <c r="W19" s="280">
        <f>SUM(W11:W18)</f>
        <v>4001.5920000000001</v>
      </c>
    </row>
    <row r="20" spans="1:23" ht="14.25">
      <c r="A20" s="119"/>
      <c r="B20" s="120"/>
      <c r="C20" s="121"/>
      <c r="D20" s="121"/>
      <c r="E20" s="121"/>
      <c r="F20" s="121"/>
      <c r="G20" s="124">
        <f>G19</f>
        <v>499.99199999999996</v>
      </c>
      <c r="H20" s="121"/>
      <c r="I20" s="119"/>
      <c r="R20" s="122">
        <f>(R19+M19)</f>
        <v>3501.6000000000004</v>
      </c>
      <c r="T20" s="46"/>
      <c r="U20" s="46"/>
      <c r="V20" s="46"/>
      <c r="W20" s="46"/>
    </row>
    <row r="23" spans="1:23" ht="14.25">
      <c r="B23" s="341" t="s">
        <v>134</v>
      </c>
      <c r="C23" s="342"/>
      <c r="D23" s="56" t="s">
        <v>135</v>
      </c>
      <c r="E23" s="1" t="s">
        <v>136</v>
      </c>
      <c r="F23" s="1" t="s">
        <v>137</v>
      </c>
      <c r="G23" s="1" t="s">
        <v>138</v>
      </c>
      <c r="H23" s="1" t="s">
        <v>139</v>
      </c>
    </row>
    <row r="24" spans="1:23" ht="14.25">
      <c r="B24" s="348" t="s">
        <v>159</v>
      </c>
      <c r="C24" s="349"/>
      <c r="D24" s="267">
        <v>15</v>
      </c>
      <c r="E24" s="265">
        <v>54</v>
      </c>
      <c r="F24" s="265"/>
      <c r="G24" s="265">
        <v>24</v>
      </c>
      <c r="H24" s="34">
        <f>SUM(D24:G24)</f>
        <v>93</v>
      </c>
    </row>
    <row r="25" spans="1:23" ht="14.25">
      <c r="B25" s="59" t="s">
        <v>24</v>
      </c>
      <c r="C25" s="56"/>
      <c r="D25" s="60">
        <f>SUM(D24:D24)</f>
        <v>15</v>
      </c>
      <c r="E25" s="60">
        <f>SUM(E24:E24)</f>
        <v>54</v>
      </c>
      <c r="F25" s="60">
        <f>SUM(F24:F24)</f>
        <v>0</v>
      </c>
      <c r="G25" s="60">
        <f>SUM(G24:G24)</f>
        <v>24</v>
      </c>
      <c r="H25" s="60">
        <f>SUM(H24:H24)</f>
        <v>93</v>
      </c>
    </row>
    <row r="30" spans="1:23" ht="69" customHeight="1"/>
  </sheetData>
  <mergeCells count="18">
    <mergeCell ref="C9:C10"/>
    <mergeCell ref="D9:G9"/>
    <mergeCell ref="H9:M9"/>
    <mergeCell ref="W9:W10"/>
    <mergeCell ref="B23:C23"/>
    <mergeCell ref="B24:C24"/>
    <mergeCell ref="B1:F1"/>
    <mergeCell ref="Q2:S2"/>
    <mergeCell ref="N9:R9"/>
    <mergeCell ref="S9:S10"/>
    <mergeCell ref="A6:W6"/>
    <mergeCell ref="A5:W5"/>
    <mergeCell ref="T9:T10"/>
    <mergeCell ref="U9:U10"/>
    <mergeCell ref="V9:V10"/>
    <mergeCell ref="C3:H3"/>
    <mergeCell ref="A9:A10"/>
    <mergeCell ref="B9:B10"/>
  </mergeCells>
  <pageMargins left="0.7" right="0.7" top="0.75" bottom="0.75" header="0.3" footer="0.3"/>
  <pageSetup paperSize="9" scale="60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W30"/>
  <sheetViews>
    <sheetView topLeftCell="I1" workbookViewId="0">
      <selection activeCell="R20" sqref="R20"/>
    </sheetView>
  </sheetViews>
  <sheetFormatPr defaultColWidth="9" defaultRowHeight="13.5"/>
  <cols>
    <col min="1" max="1" width="3.85546875" style="123" customWidth="1"/>
    <col min="2" max="2" width="22.85546875" style="123" customWidth="1"/>
    <col min="3" max="3" width="6" style="123" customWidth="1"/>
    <col min="4" max="4" width="10.42578125" style="123" customWidth="1"/>
    <col min="5" max="5" width="9" style="123" customWidth="1"/>
    <col min="6" max="6" width="10.5703125" style="123" bestFit="1" customWidth="1"/>
    <col min="7" max="7" width="11.85546875" style="123" bestFit="1" customWidth="1"/>
    <col min="8" max="8" width="9" style="123" customWidth="1"/>
    <col min="9" max="9" width="9" style="123" bestFit="1" customWidth="1"/>
    <col min="10" max="10" width="8.42578125" style="123" customWidth="1"/>
    <col min="11" max="11" width="11.85546875" style="123" bestFit="1" customWidth="1"/>
    <col min="12" max="12" width="8.7109375" style="123" customWidth="1"/>
    <col min="13" max="13" width="11.28515625" style="123" bestFit="1" customWidth="1"/>
    <col min="14" max="14" width="6.7109375" style="123" customWidth="1"/>
    <col min="15" max="15" width="11.85546875" style="123" bestFit="1" customWidth="1"/>
    <col min="16" max="16" width="11.5703125" style="123" bestFit="1" customWidth="1"/>
    <col min="17" max="17" width="9.140625" style="123" customWidth="1"/>
    <col min="18" max="18" width="11.7109375" style="123" bestFit="1" customWidth="1"/>
    <col min="19" max="19" width="10.5703125" style="123" bestFit="1" customWidth="1"/>
    <col min="20" max="245" width="9.140625" style="123" customWidth="1"/>
    <col min="246" max="246" width="5" style="123" customWidth="1"/>
    <col min="247" max="247" width="20.85546875" style="123" customWidth="1"/>
    <col min="248" max="248" width="6" style="123" customWidth="1"/>
    <col min="249" max="249" width="10.42578125" style="123" customWidth="1"/>
    <col min="250" max="16384" width="9" style="123"/>
  </cols>
  <sheetData>
    <row r="1" spans="1:23" s="7" customFormat="1" ht="23.25" customHeight="1">
      <c r="A1" s="4"/>
      <c r="B1" s="332"/>
      <c r="C1" s="333"/>
      <c r="D1" s="333"/>
      <c r="E1" s="333"/>
      <c r="F1" s="333"/>
      <c r="G1" s="22"/>
      <c r="H1" s="22"/>
      <c r="I1" s="5"/>
      <c r="J1" s="5"/>
      <c r="K1" s="5"/>
      <c r="L1" s="5"/>
      <c r="Q1" s="5"/>
      <c r="R1" s="240" t="s">
        <v>47</v>
      </c>
      <c r="S1" s="22"/>
    </row>
    <row r="2" spans="1:23" s="7" customFormat="1" ht="15" customHeight="1">
      <c r="A2" s="4"/>
      <c r="B2" s="241"/>
      <c r="C2" s="242"/>
      <c r="D2" s="242"/>
      <c r="E2" s="242"/>
      <c r="F2" s="22"/>
      <c r="G2" s="22"/>
      <c r="H2" s="22"/>
      <c r="I2" s="5"/>
      <c r="J2" s="5"/>
      <c r="K2" s="5"/>
      <c r="L2" s="5"/>
      <c r="Q2" s="314" t="s">
        <v>21</v>
      </c>
      <c r="R2" s="314"/>
      <c r="S2" s="314"/>
    </row>
    <row r="3" spans="1:23" s="7" customFormat="1" ht="18" thickBot="1">
      <c r="B3" s="9" t="s">
        <v>65</v>
      </c>
      <c r="C3" s="23" t="s">
        <v>206</v>
      </c>
      <c r="D3" s="11"/>
      <c r="E3" s="11"/>
      <c r="F3" s="11"/>
      <c r="G3" s="24"/>
      <c r="H3" s="24"/>
      <c r="I3" s="5"/>
      <c r="J3" s="5"/>
      <c r="K3" s="5"/>
      <c r="L3" s="5"/>
    </row>
    <row r="4" spans="1:23" s="7" customFormat="1" ht="12.75" customHeight="1">
      <c r="A4" s="4"/>
      <c r="B4" s="22"/>
      <c r="C4" s="22"/>
      <c r="D4" s="25"/>
      <c r="E4" s="25"/>
      <c r="F4" s="22"/>
      <c r="G4" s="22"/>
      <c r="H4" s="22"/>
      <c r="I4" s="26"/>
      <c r="J4" s="5"/>
      <c r="K4" s="5"/>
      <c r="L4" s="5"/>
      <c r="M4" s="5"/>
      <c r="Q4" s="5"/>
      <c r="R4" s="5"/>
      <c r="S4" s="5"/>
    </row>
    <row r="5" spans="1:23" s="14" customFormat="1" ht="15" customHeight="1">
      <c r="A5" s="337" t="s">
        <v>22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</row>
    <row r="6" spans="1:23" s="14" customFormat="1" ht="15" customHeight="1">
      <c r="A6" s="337" t="s">
        <v>212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</row>
    <row r="7" spans="1:23" s="14" customFormat="1" ht="9.75" customHeight="1">
      <c r="A7" s="6"/>
      <c r="B7" s="29"/>
      <c r="C7" s="29"/>
      <c r="D7" s="29"/>
      <c r="E7" s="29"/>
      <c r="F7" s="29"/>
      <c r="G7" s="29"/>
      <c r="H7" s="29"/>
      <c r="I7" s="6"/>
      <c r="J7" s="6"/>
      <c r="K7" s="6"/>
      <c r="L7" s="6"/>
      <c r="O7" s="6"/>
      <c r="P7" s="6"/>
      <c r="Q7" s="6"/>
      <c r="R7" s="6"/>
      <c r="S7" s="6"/>
    </row>
    <row r="8" spans="1:23" s="7" customFormat="1">
      <c r="A8" s="5"/>
      <c r="B8" s="30"/>
      <c r="C8" s="25"/>
      <c r="D8" s="25"/>
      <c r="E8" s="25"/>
      <c r="F8" s="25"/>
      <c r="G8" s="25"/>
      <c r="H8" s="25"/>
      <c r="I8" s="5"/>
    </row>
    <row r="9" spans="1:23" s="31" customFormat="1" ht="12.75" customHeight="1">
      <c r="A9" s="343" t="s">
        <v>0</v>
      </c>
      <c r="B9" s="343" t="s">
        <v>54</v>
      </c>
      <c r="C9" s="343" t="s">
        <v>55</v>
      </c>
      <c r="D9" s="345" t="s">
        <v>56</v>
      </c>
      <c r="E9" s="346"/>
      <c r="F9" s="346"/>
      <c r="G9" s="347"/>
      <c r="H9" s="345" t="s">
        <v>57</v>
      </c>
      <c r="I9" s="346"/>
      <c r="J9" s="346"/>
      <c r="K9" s="346"/>
      <c r="L9" s="346"/>
      <c r="M9" s="347"/>
      <c r="N9" s="345" t="s">
        <v>58</v>
      </c>
      <c r="O9" s="346"/>
      <c r="P9" s="346"/>
      <c r="Q9" s="346"/>
      <c r="R9" s="347"/>
      <c r="S9" s="343" t="s">
        <v>118</v>
      </c>
      <c r="T9" s="343" t="s">
        <v>119</v>
      </c>
      <c r="U9" s="343" t="s">
        <v>120</v>
      </c>
      <c r="V9" s="343" t="s">
        <v>121</v>
      </c>
      <c r="W9" s="343" t="s">
        <v>122</v>
      </c>
    </row>
    <row r="10" spans="1:23" s="32" customFormat="1" ht="63.75">
      <c r="A10" s="344"/>
      <c r="B10" s="344"/>
      <c r="C10" s="344"/>
      <c r="D10" s="53" t="s">
        <v>59</v>
      </c>
      <c r="E10" s="53" t="s">
        <v>60</v>
      </c>
      <c r="F10" s="53" t="s">
        <v>123</v>
      </c>
      <c r="G10" s="53" t="s">
        <v>216</v>
      </c>
      <c r="H10" s="53" t="s">
        <v>61</v>
      </c>
      <c r="I10" s="53" t="s">
        <v>132</v>
      </c>
      <c r="J10" s="53" t="s">
        <v>124</v>
      </c>
      <c r="K10" s="53" t="s">
        <v>131</v>
      </c>
      <c r="L10" s="53" t="s">
        <v>130</v>
      </c>
      <c r="M10" s="53" t="s">
        <v>217</v>
      </c>
      <c r="N10" s="53" t="s">
        <v>63</v>
      </c>
      <c r="O10" s="53" t="s">
        <v>64</v>
      </c>
      <c r="P10" s="53" t="s">
        <v>129</v>
      </c>
      <c r="Q10" s="54" t="s">
        <v>125</v>
      </c>
      <c r="R10" s="53" t="s">
        <v>215</v>
      </c>
      <c r="S10" s="344"/>
      <c r="T10" s="344"/>
      <c r="U10" s="344"/>
      <c r="V10" s="344"/>
      <c r="W10" s="344"/>
    </row>
    <row r="11" spans="1:23" s="31" customFormat="1">
      <c r="A11" s="201" t="s">
        <v>117</v>
      </c>
      <c r="B11" s="201" t="s">
        <v>2</v>
      </c>
      <c r="C11" s="201" t="s">
        <v>3</v>
      </c>
      <c r="D11" s="201" t="s">
        <v>4</v>
      </c>
      <c r="E11" s="201" t="s">
        <v>19</v>
      </c>
      <c r="F11" s="201" t="s">
        <v>18</v>
      </c>
      <c r="G11" s="201" t="s">
        <v>17</v>
      </c>
      <c r="H11" s="201" t="s">
        <v>16</v>
      </c>
      <c r="I11" s="201" t="s">
        <v>5</v>
      </c>
      <c r="J11" s="201" t="s">
        <v>6</v>
      </c>
      <c r="K11" s="201" t="s">
        <v>15</v>
      </c>
      <c r="L11" s="201" t="s">
        <v>20</v>
      </c>
      <c r="M11" s="201" t="s">
        <v>126</v>
      </c>
      <c r="N11" s="201" t="s">
        <v>0</v>
      </c>
      <c r="O11" s="201" t="s">
        <v>14</v>
      </c>
      <c r="P11" s="201" t="s">
        <v>127</v>
      </c>
      <c r="Q11" s="201" t="s">
        <v>7</v>
      </c>
      <c r="R11" s="201" t="s">
        <v>8</v>
      </c>
      <c r="S11" s="201" t="s">
        <v>9</v>
      </c>
      <c r="T11" s="201" t="s">
        <v>10</v>
      </c>
      <c r="U11" s="201" t="s">
        <v>11</v>
      </c>
      <c r="V11" s="201" t="s">
        <v>13</v>
      </c>
      <c r="W11" s="201" t="s">
        <v>128</v>
      </c>
    </row>
    <row r="12" spans="1:23" s="278" customFormat="1">
      <c r="A12" s="283">
        <v>1</v>
      </c>
      <c r="B12" s="171" t="s">
        <v>66</v>
      </c>
      <c r="C12" s="287">
        <v>1</v>
      </c>
      <c r="D12" s="287">
        <v>1</v>
      </c>
      <c r="E12" s="171">
        <v>2083.3000000000002</v>
      </c>
      <c r="F12" s="171">
        <f>D12*E12</f>
        <v>2083.3000000000002</v>
      </c>
      <c r="G12" s="171">
        <f>F12*12/1000</f>
        <v>24.999600000000001</v>
      </c>
      <c r="H12" s="171">
        <v>2250</v>
      </c>
      <c r="I12" s="268">
        <f>H12*C12</f>
        <v>2250</v>
      </c>
      <c r="J12" s="171">
        <f>I12-D12*360</f>
        <v>1890</v>
      </c>
      <c r="K12" s="269">
        <f>+J12*5</f>
        <v>9450</v>
      </c>
      <c r="L12" s="171">
        <f>+K12</f>
        <v>9450</v>
      </c>
      <c r="M12" s="171">
        <f>L12*12/1000</f>
        <v>113.4</v>
      </c>
      <c r="N12" s="271">
        <v>10</v>
      </c>
      <c r="O12" s="271">
        <v>10</v>
      </c>
      <c r="P12" s="171">
        <f t="shared" ref="P12:P18" si="0">(N12+O12)*1000*C12</f>
        <v>20000</v>
      </c>
      <c r="Q12" s="171">
        <f>P12*20%</f>
        <v>4000</v>
      </c>
      <c r="R12" s="171">
        <f>(P12+Q12)*12/1000</f>
        <v>288</v>
      </c>
      <c r="S12" s="171">
        <f t="shared" ref="S12:S18" si="1">G12+M12+R12</f>
        <v>426.39960000000002</v>
      </c>
      <c r="T12" s="270"/>
      <c r="U12" s="270"/>
      <c r="V12" s="270"/>
      <c r="W12" s="270">
        <f>+(S12+T12+U12+V12)</f>
        <v>426.39960000000002</v>
      </c>
    </row>
    <row r="13" spans="1:23" s="278" customFormat="1">
      <c r="A13" s="283">
        <v>2</v>
      </c>
      <c r="B13" s="171" t="s">
        <v>81</v>
      </c>
      <c r="C13" s="288">
        <v>11</v>
      </c>
      <c r="D13" s="288">
        <v>11</v>
      </c>
      <c r="E13" s="171">
        <v>2083.3000000000002</v>
      </c>
      <c r="F13" s="171">
        <f t="shared" ref="F13:F18" si="2">D13*E13</f>
        <v>22916.300000000003</v>
      </c>
      <c r="G13" s="171">
        <f t="shared" ref="G13:G18" si="3">F13*12/1000</f>
        <v>274.99560000000002</v>
      </c>
      <c r="H13" s="171">
        <v>1500</v>
      </c>
      <c r="I13" s="268">
        <f t="shared" ref="I13:I18" si="4">H13*C13</f>
        <v>16500</v>
      </c>
      <c r="J13" s="171">
        <f t="shared" ref="J13:J18" si="5">I13-D13*360</f>
        <v>12540</v>
      </c>
      <c r="K13" s="269">
        <f t="shared" ref="K13:K18" si="6">+J13*5</f>
        <v>62700</v>
      </c>
      <c r="L13" s="171">
        <f t="shared" ref="L13:L18" si="7">+K13</f>
        <v>62700</v>
      </c>
      <c r="M13" s="171">
        <f t="shared" ref="M13:M18" si="8">L13*12/1000</f>
        <v>752.4</v>
      </c>
      <c r="N13" s="271">
        <v>7</v>
      </c>
      <c r="O13" s="271">
        <v>0</v>
      </c>
      <c r="P13" s="171">
        <f t="shared" si="0"/>
        <v>77000</v>
      </c>
      <c r="Q13" s="171">
        <f t="shared" ref="Q13:Q18" si="9">P13*20%</f>
        <v>15400</v>
      </c>
      <c r="R13" s="171">
        <f t="shared" ref="R13:R18" si="10">(P13+Q13)*12/1000</f>
        <v>1108.8</v>
      </c>
      <c r="S13" s="171">
        <f t="shared" si="1"/>
        <v>2136.1956</v>
      </c>
      <c r="T13" s="270"/>
      <c r="U13" s="270"/>
      <c r="V13" s="270"/>
      <c r="W13" s="270">
        <f t="shared" ref="W13:W18" si="11">+(S13+T13+U13+V13)</f>
        <v>2136.1956</v>
      </c>
    </row>
    <row r="14" spans="1:23" s="278" customFormat="1">
      <c r="A14" s="283">
        <v>3</v>
      </c>
      <c r="B14" s="171" t="s">
        <v>82</v>
      </c>
      <c r="C14" s="287">
        <v>1</v>
      </c>
      <c r="D14" s="287">
        <v>1</v>
      </c>
      <c r="E14" s="171">
        <v>2083.3000000000002</v>
      </c>
      <c r="F14" s="171">
        <f t="shared" si="2"/>
        <v>2083.3000000000002</v>
      </c>
      <c r="G14" s="171">
        <f t="shared" si="3"/>
        <v>24.999600000000001</v>
      </c>
      <c r="H14" s="171">
        <v>1750</v>
      </c>
      <c r="I14" s="268">
        <f t="shared" si="4"/>
        <v>1750</v>
      </c>
      <c r="J14" s="171">
        <f t="shared" si="5"/>
        <v>1390</v>
      </c>
      <c r="K14" s="269">
        <f t="shared" si="6"/>
        <v>6950</v>
      </c>
      <c r="L14" s="171">
        <f t="shared" si="7"/>
        <v>6950</v>
      </c>
      <c r="M14" s="171">
        <f t="shared" si="8"/>
        <v>83.4</v>
      </c>
      <c r="N14" s="271">
        <v>4</v>
      </c>
      <c r="O14" s="271">
        <v>0</v>
      </c>
      <c r="P14" s="171">
        <f t="shared" si="0"/>
        <v>4000</v>
      </c>
      <c r="Q14" s="171">
        <f t="shared" si="9"/>
        <v>800</v>
      </c>
      <c r="R14" s="171">
        <f t="shared" si="10"/>
        <v>57.6</v>
      </c>
      <c r="S14" s="171">
        <f t="shared" si="1"/>
        <v>165.99960000000002</v>
      </c>
      <c r="T14" s="270"/>
      <c r="U14" s="270"/>
      <c r="V14" s="270"/>
      <c r="W14" s="270">
        <f t="shared" si="11"/>
        <v>165.99960000000002</v>
      </c>
    </row>
    <row r="15" spans="1:23" s="278" customFormat="1">
      <c r="A15" s="283">
        <v>4</v>
      </c>
      <c r="B15" s="171" t="s">
        <v>69</v>
      </c>
      <c r="C15" s="287">
        <v>1</v>
      </c>
      <c r="D15" s="287">
        <v>1</v>
      </c>
      <c r="E15" s="171">
        <v>2083.3000000000002</v>
      </c>
      <c r="F15" s="171">
        <f t="shared" si="2"/>
        <v>2083.3000000000002</v>
      </c>
      <c r="G15" s="171">
        <f t="shared" si="3"/>
        <v>24.999600000000001</v>
      </c>
      <c r="H15" s="171">
        <v>1750</v>
      </c>
      <c r="I15" s="268">
        <f t="shared" si="4"/>
        <v>1750</v>
      </c>
      <c r="J15" s="171">
        <f t="shared" si="5"/>
        <v>1390</v>
      </c>
      <c r="K15" s="269">
        <f t="shared" si="6"/>
        <v>6950</v>
      </c>
      <c r="L15" s="171">
        <f t="shared" si="7"/>
        <v>6950</v>
      </c>
      <c r="M15" s="171">
        <f t="shared" si="8"/>
        <v>83.4</v>
      </c>
      <c r="N15" s="271">
        <v>5</v>
      </c>
      <c r="O15" s="271">
        <v>0</v>
      </c>
      <c r="P15" s="171">
        <f t="shared" si="0"/>
        <v>5000</v>
      </c>
      <c r="Q15" s="171">
        <f t="shared" si="9"/>
        <v>1000</v>
      </c>
      <c r="R15" s="171">
        <f t="shared" si="10"/>
        <v>72</v>
      </c>
      <c r="S15" s="171">
        <f t="shared" si="1"/>
        <v>180.39960000000002</v>
      </c>
      <c r="T15" s="270"/>
      <c r="U15" s="270"/>
      <c r="V15" s="270"/>
      <c r="W15" s="270">
        <f t="shared" si="11"/>
        <v>180.39960000000002</v>
      </c>
    </row>
    <row r="16" spans="1:23" s="278" customFormat="1">
      <c r="A16" s="283">
        <v>5</v>
      </c>
      <c r="B16" s="171" t="s">
        <v>70</v>
      </c>
      <c r="C16" s="287">
        <v>1</v>
      </c>
      <c r="D16" s="287">
        <v>1</v>
      </c>
      <c r="E16" s="171">
        <v>2083.3000000000002</v>
      </c>
      <c r="F16" s="171">
        <f t="shared" si="2"/>
        <v>2083.3000000000002</v>
      </c>
      <c r="G16" s="171">
        <f t="shared" si="3"/>
        <v>24.999600000000001</v>
      </c>
      <c r="H16" s="171">
        <v>1250</v>
      </c>
      <c r="I16" s="268">
        <f t="shared" si="4"/>
        <v>1250</v>
      </c>
      <c r="J16" s="171">
        <f t="shared" si="5"/>
        <v>890</v>
      </c>
      <c r="K16" s="269">
        <f t="shared" si="6"/>
        <v>4450</v>
      </c>
      <c r="L16" s="171">
        <f t="shared" si="7"/>
        <v>4450</v>
      </c>
      <c r="M16" s="171">
        <f t="shared" si="8"/>
        <v>53.4</v>
      </c>
      <c r="N16" s="271">
        <v>2</v>
      </c>
      <c r="O16" s="271">
        <v>0</v>
      </c>
      <c r="P16" s="171">
        <f t="shared" si="0"/>
        <v>2000</v>
      </c>
      <c r="Q16" s="171">
        <f t="shared" si="9"/>
        <v>400</v>
      </c>
      <c r="R16" s="171">
        <f t="shared" si="10"/>
        <v>28.8</v>
      </c>
      <c r="S16" s="171">
        <f t="shared" si="1"/>
        <v>107.19959999999999</v>
      </c>
      <c r="T16" s="270"/>
      <c r="U16" s="270"/>
      <c r="V16" s="270"/>
      <c r="W16" s="270">
        <f t="shared" si="11"/>
        <v>107.19959999999999</v>
      </c>
    </row>
    <row r="17" spans="1:23" s="278" customFormat="1">
      <c r="A17" s="283">
        <v>6</v>
      </c>
      <c r="B17" s="171" t="s">
        <v>83</v>
      </c>
      <c r="C17" s="289">
        <v>17</v>
      </c>
      <c r="D17" s="287">
        <v>1</v>
      </c>
      <c r="E17" s="171">
        <v>2083.3000000000002</v>
      </c>
      <c r="F17" s="171">
        <f t="shared" si="2"/>
        <v>2083.3000000000002</v>
      </c>
      <c r="G17" s="171">
        <f t="shared" si="3"/>
        <v>24.999600000000001</v>
      </c>
      <c r="H17" s="171">
        <v>360</v>
      </c>
      <c r="I17" s="268">
        <f>H17*D17</f>
        <v>360</v>
      </c>
      <c r="J17" s="171">
        <f t="shared" si="5"/>
        <v>0</v>
      </c>
      <c r="K17" s="269">
        <f t="shared" si="6"/>
        <v>0</v>
      </c>
      <c r="L17" s="171">
        <f t="shared" si="7"/>
        <v>0</v>
      </c>
      <c r="M17" s="171">
        <f t="shared" si="8"/>
        <v>0</v>
      </c>
      <c r="N17" s="271">
        <v>0</v>
      </c>
      <c r="O17" s="271">
        <v>0</v>
      </c>
      <c r="P17" s="171">
        <f t="shared" si="0"/>
        <v>0</v>
      </c>
      <c r="Q17" s="171">
        <f t="shared" si="9"/>
        <v>0</v>
      </c>
      <c r="R17" s="171">
        <f t="shared" si="10"/>
        <v>0</v>
      </c>
      <c r="S17" s="171">
        <f t="shared" si="1"/>
        <v>24.999600000000001</v>
      </c>
      <c r="T17" s="270"/>
      <c r="U17" s="270"/>
      <c r="V17" s="270"/>
      <c r="W17" s="270">
        <f t="shared" si="11"/>
        <v>24.999600000000001</v>
      </c>
    </row>
    <row r="18" spans="1:23" s="278" customFormat="1">
      <c r="A18" s="283">
        <v>7</v>
      </c>
      <c r="B18" s="276" t="s">
        <v>84</v>
      </c>
      <c r="C18" s="287">
        <v>42</v>
      </c>
      <c r="D18" s="289">
        <v>8</v>
      </c>
      <c r="E18" s="171">
        <v>2083.3000000000002</v>
      </c>
      <c r="F18" s="171">
        <f t="shared" si="2"/>
        <v>16666.400000000001</v>
      </c>
      <c r="G18" s="171">
        <f t="shared" si="3"/>
        <v>199.99680000000001</v>
      </c>
      <c r="H18" s="171">
        <v>100</v>
      </c>
      <c r="I18" s="268">
        <f t="shared" si="4"/>
        <v>4200</v>
      </c>
      <c r="J18" s="171">
        <f t="shared" si="5"/>
        <v>1320</v>
      </c>
      <c r="K18" s="269">
        <f t="shared" si="6"/>
        <v>6600</v>
      </c>
      <c r="L18" s="171">
        <f t="shared" si="7"/>
        <v>6600</v>
      </c>
      <c r="M18" s="171">
        <f t="shared" si="8"/>
        <v>79.2</v>
      </c>
      <c r="N18" s="271">
        <v>0.5</v>
      </c>
      <c r="O18" s="271">
        <v>0</v>
      </c>
      <c r="P18" s="171">
        <f t="shared" si="0"/>
        <v>21000</v>
      </c>
      <c r="Q18" s="171">
        <f t="shared" si="9"/>
        <v>4200</v>
      </c>
      <c r="R18" s="171">
        <f t="shared" si="10"/>
        <v>302.39999999999998</v>
      </c>
      <c r="S18" s="171">
        <f t="shared" si="1"/>
        <v>581.59680000000003</v>
      </c>
      <c r="T18" s="271"/>
      <c r="U18" s="271"/>
      <c r="V18" s="271"/>
      <c r="W18" s="270">
        <f t="shared" si="11"/>
        <v>581.59680000000003</v>
      </c>
    </row>
    <row r="19" spans="1:23" s="278" customFormat="1" ht="16.5">
      <c r="A19" s="272"/>
      <c r="B19" s="277" t="s">
        <v>85</v>
      </c>
      <c r="C19" s="286">
        <f>SUM(C12:C18)</f>
        <v>74</v>
      </c>
      <c r="D19" s="286">
        <f>SUM(D12:D18)</f>
        <v>24</v>
      </c>
      <c r="E19" s="272"/>
      <c r="F19" s="272">
        <f>SUM(F12:F18)</f>
        <v>49999.200000000004</v>
      </c>
      <c r="G19" s="272">
        <f>SUM(G12:G18)</f>
        <v>599.99039999999991</v>
      </c>
      <c r="H19" s="272"/>
      <c r="I19" s="272">
        <f>SUM(I12:I18)</f>
        <v>28060</v>
      </c>
      <c r="J19" s="272"/>
      <c r="K19" s="279"/>
      <c r="L19" s="272">
        <f>SUM(L12:L18)</f>
        <v>97100</v>
      </c>
      <c r="M19" s="272">
        <f>SUM(M12:M18)</f>
        <v>1165.2</v>
      </c>
      <c r="N19" s="272"/>
      <c r="O19" s="272"/>
      <c r="P19" s="272"/>
      <c r="Q19" s="272"/>
      <c r="R19" s="272">
        <f>SUM(R12:R18)</f>
        <v>1857.6</v>
      </c>
      <c r="S19" s="274">
        <f>(R19+M19+G19)</f>
        <v>3622.7903999999999</v>
      </c>
      <c r="T19" s="280">
        <f>SUM(T10:T16)</f>
        <v>0</v>
      </c>
      <c r="U19" s="280">
        <f>SUM(U10:U16)</f>
        <v>0</v>
      </c>
      <c r="V19" s="280">
        <f>SUM(V10:V16)</f>
        <v>0</v>
      </c>
      <c r="W19" s="280">
        <f>SUM(W12:W18)</f>
        <v>3622.7904000000008</v>
      </c>
    </row>
    <row r="20" spans="1:23" ht="14.25">
      <c r="G20" s="298">
        <f>G19</f>
        <v>599.99039999999991</v>
      </c>
      <c r="R20" s="122">
        <f>(R19+M19)</f>
        <v>3022.8</v>
      </c>
      <c r="T20" s="46"/>
      <c r="U20" s="46"/>
      <c r="V20" s="46"/>
      <c r="W20" s="46"/>
    </row>
    <row r="23" spans="1:23" ht="14.25">
      <c r="B23" s="341" t="s">
        <v>134</v>
      </c>
      <c r="C23" s="342"/>
      <c r="D23" s="56" t="s">
        <v>135</v>
      </c>
      <c r="E23" s="1" t="s">
        <v>136</v>
      </c>
      <c r="F23" s="1" t="s">
        <v>137</v>
      </c>
      <c r="G23" s="1" t="s">
        <v>138</v>
      </c>
      <c r="H23" s="1" t="s">
        <v>139</v>
      </c>
    </row>
    <row r="24" spans="1:23" ht="30.75" customHeight="1">
      <c r="B24" s="354" t="s">
        <v>192</v>
      </c>
      <c r="C24" s="355"/>
      <c r="D24" s="267">
        <v>12</v>
      </c>
      <c r="E24" s="265">
        <v>40</v>
      </c>
      <c r="F24" s="265"/>
      <c r="G24" s="265">
        <v>22</v>
      </c>
      <c r="H24" s="34">
        <f>SUM(D24:G24)</f>
        <v>74</v>
      </c>
    </row>
    <row r="25" spans="1:23" ht="14.25">
      <c r="B25" s="59" t="s">
        <v>24</v>
      </c>
      <c r="C25" s="56"/>
      <c r="D25" s="60">
        <f>SUM(D24:D24)</f>
        <v>12</v>
      </c>
      <c r="E25" s="60">
        <f>SUM(E24:E24)</f>
        <v>40</v>
      </c>
      <c r="F25" s="60">
        <f>SUM(F24:F24)</f>
        <v>0</v>
      </c>
      <c r="G25" s="60">
        <f>SUM(G24:G24)</f>
        <v>22</v>
      </c>
      <c r="H25" s="60">
        <f>SUM(H24:H24)</f>
        <v>74</v>
      </c>
    </row>
    <row r="30" spans="1:23" ht="69" customHeight="1"/>
  </sheetData>
  <mergeCells count="17">
    <mergeCell ref="U9:U10"/>
    <mergeCell ref="V9:V10"/>
    <mergeCell ref="B23:C23"/>
    <mergeCell ref="B24:C24"/>
    <mergeCell ref="W9:W10"/>
    <mergeCell ref="B1:F1"/>
    <mergeCell ref="Q2:S2"/>
    <mergeCell ref="A5:W5"/>
    <mergeCell ref="A6:W6"/>
    <mergeCell ref="A9:A10"/>
    <mergeCell ref="B9:B10"/>
    <mergeCell ref="C9:C10"/>
    <mergeCell ref="D9:G9"/>
    <mergeCell ref="H9:M9"/>
    <mergeCell ref="N9:R9"/>
    <mergeCell ref="S9:S10"/>
    <mergeCell ref="T9:T1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W25"/>
  <sheetViews>
    <sheetView topLeftCell="H1" zoomScaleNormal="100" workbookViewId="0">
      <selection activeCell="Q21" sqref="Q21"/>
    </sheetView>
  </sheetViews>
  <sheetFormatPr defaultColWidth="9.140625" defaultRowHeight="16.5"/>
  <cols>
    <col min="1" max="1" width="3.85546875" style="76" customWidth="1"/>
    <col min="2" max="2" width="26" style="76" customWidth="1"/>
    <col min="3" max="5" width="9.42578125" style="76" bestFit="1" customWidth="1"/>
    <col min="6" max="6" width="10" style="76" bestFit="1" customWidth="1"/>
    <col min="7" max="7" width="11.7109375" style="76" bestFit="1" customWidth="1"/>
    <col min="8" max="10" width="9.42578125" style="76" bestFit="1" customWidth="1"/>
    <col min="11" max="11" width="9.7109375" style="76" bestFit="1" customWidth="1"/>
    <col min="12" max="12" width="10.42578125" style="76" bestFit="1" customWidth="1"/>
    <col min="13" max="13" width="10.28515625" style="76" customWidth="1"/>
    <col min="14" max="15" width="9.28515625" style="76" bestFit="1" customWidth="1"/>
    <col min="16" max="16" width="9.85546875" style="76" bestFit="1" customWidth="1"/>
    <col min="17" max="17" width="9.28515625" style="76" bestFit="1" customWidth="1"/>
    <col min="18" max="19" width="10.42578125" style="76" customWidth="1"/>
    <col min="20" max="22" width="9.28515625" style="76" bestFit="1" customWidth="1"/>
    <col min="23" max="23" width="11" style="76" customWidth="1"/>
    <col min="24" max="16384" width="9.140625" style="76"/>
  </cols>
  <sheetData>
    <row r="1" spans="1:23" s="7" customFormat="1" ht="23.25" customHeight="1">
      <c r="A1" s="4"/>
      <c r="B1" s="332"/>
      <c r="C1" s="333"/>
      <c r="D1" s="333"/>
      <c r="E1" s="333"/>
      <c r="F1" s="333"/>
      <c r="G1" s="22"/>
      <c r="H1" s="22"/>
      <c r="I1" s="5"/>
      <c r="J1" s="5"/>
      <c r="K1" s="5"/>
      <c r="L1" s="5"/>
      <c r="Q1" s="5"/>
      <c r="R1" s="162" t="s">
        <v>47</v>
      </c>
      <c r="S1" s="22"/>
    </row>
    <row r="2" spans="1:23" s="7" customFormat="1" ht="15" customHeight="1">
      <c r="A2" s="4"/>
      <c r="B2" s="164"/>
      <c r="C2" s="166"/>
      <c r="D2" s="166"/>
      <c r="E2" s="166"/>
      <c r="F2" s="22"/>
      <c r="G2" s="22"/>
      <c r="H2" s="22"/>
      <c r="I2" s="5"/>
      <c r="J2" s="5"/>
      <c r="K2" s="5"/>
      <c r="L2" s="5"/>
      <c r="Q2" s="314" t="s">
        <v>21</v>
      </c>
      <c r="R2" s="314"/>
      <c r="S2" s="314"/>
    </row>
    <row r="3" spans="1:23" s="7" customFormat="1" ht="37.5" customHeight="1" thickBot="1">
      <c r="B3" s="9" t="s">
        <v>65</v>
      </c>
      <c r="C3" s="353" t="s">
        <v>205</v>
      </c>
      <c r="D3" s="353"/>
      <c r="E3" s="353"/>
      <c r="F3" s="353"/>
      <c r="G3" s="353"/>
      <c r="H3" s="353"/>
      <c r="I3" s="5"/>
      <c r="J3" s="5"/>
      <c r="K3" s="5"/>
      <c r="L3" s="5"/>
    </row>
    <row r="4" spans="1:23" s="7" customFormat="1" ht="12.75" customHeight="1">
      <c r="A4" s="4"/>
      <c r="B4" s="22"/>
      <c r="C4" s="22"/>
      <c r="D4" s="25"/>
      <c r="E4" s="25"/>
      <c r="F4" s="22"/>
      <c r="G4" s="22"/>
      <c r="H4" s="22"/>
      <c r="I4" s="26"/>
      <c r="J4" s="5"/>
      <c r="K4" s="5"/>
      <c r="L4" s="5"/>
      <c r="M4" s="5"/>
      <c r="Q4" s="5"/>
      <c r="R4" s="5"/>
      <c r="S4" s="5"/>
    </row>
    <row r="5" spans="1:23" s="14" customFormat="1" ht="15" customHeight="1">
      <c r="A5" s="337" t="s">
        <v>22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</row>
    <row r="6" spans="1:23" s="14" customFormat="1" ht="15" customHeight="1">
      <c r="A6" s="337" t="s">
        <v>212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</row>
    <row r="7" spans="1:23" s="14" customFormat="1" ht="12.75">
      <c r="A7" s="6"/>
      <c r="B7" s="27"/>
      <c r="C7" s="27"/>
      <c r="D7" s="27"/>
      <c r="E7" s="27"/>
      <c r="F7" s="27"/>
      <c r="G7" s="27"/>
      <c r="H7" s="27"/>
      <c r="I7" s="28"/>
      <c r="J7" s="28"/>
      <c r="K7" s="28"/>
      <c r="L7" s="28"/>
      <c r="M7" s="28"/>
      <c r="N7" s="28"/>
      <c r="O7" s="6"/>
      <c r="P7" s="6"/>
    </row>
    <row r="8" spans="1:23">
      <c r="A8" s="343" t="s">
        <v>0</v>
      </c>
      <c r="B8" s="343" t="s">
        <v>54</v>
      </c>
      <c r="C8" s="343" t="s">
        <v>55</v>
      </c>
      <c r="D8" s="345" t="s">
        <v>56</v>
      </c>
      <c r="E8" s="346"/>
      <c r="F8" s="346"/>
      <c r="G8" s="347"/>
      <c r="H8" s="345" t="s">
        <v>57</v>
      </c>
      <c r="I8" s="346"/>
      <c r="J8" s="346"/>
      <c r="K8" s="346"/>
      <c r="L8" s="346"/>
      <c r="M8" s="347"/>
      <c r="N8" s="345" t="s">
        <v>58</v>
      </c>
      <c r="O8" s="346"/>
      <c r="P8" s="346"/>
      <c r="Q8" s="346"/>
      <c r="R8" s="347"/>
      <c r="S8" s="343" t="s">
        <v>118</v>
      </c>
      <c r="T8" s="343" t="s">
        <v>119</v>
      </c>
      <c r="U8" s="343" t="s">
        <v>120</v>
      </c>
      <c r="V8" s="343" t="s">
        <v>121</v>
      </c>
      <c r="W8" s="343" t="s">
        <v>122</v>
      </c>
    </row>
    <row r="9" spans="1:23" ht="51">
      <c r="A9" s="344"/>
      <c r="B9" s="344"/>
      <c r="C9" s="344"/>
      <c r="D9" s="53" t="s">
        <v>59</v>
      </c>
      <c r="E9" s="53" t="s">
        <v>60</v>
      </c>
      <c r="F9" s="53" t="s">
        <v>123</v>
      </c>
      <c r="G9" s="53" t="s">
        <v>216</v>
      </c>
      <c r="H9" s="53" t="s">
        <v>61</v>
      </c>
      <c r="I9" s="53" t="s">
        <v>132</v>
      </c>
      <c r="J9" s="53" t="s">
        <v>124</v>
      </c>
      <c r="K9" s="53" t="s">
        <v>131</v>
      </c>
      <c r="L9" s="53" t="s">
        <v>130</v>
      </c>
      <c r="M9" s="53" t="s">
        <v>213</v>
      </c>
      <c r="N9" s="53" t="s">
        <v>63</v>
      </c>
      <c r="O9" s="53" t="s">
        <v>64</v>
      </c>
      <c r="P9" s="53" t="s">
        <v>129</v>
      </c>
      <c r="Q9" s="54" t="s">
        <v>125</v>
      </c>
      <c r="R9" s="53" t="s">
        <v>215</v>
      </c>
      <c r="S9" s="344"/>
      <c r="T9" s="344"/>
      <c r="U9" s="344"/>
      <c r="V9" s="344"/>
      <c r="W9" s="344"/>
    </row>
    <row r="10" spans="1:23">
      <c r="A10" s="163" t="s">
        <v>117</v>
      </c>
      <c r="B10" s="163" t="s">
        <v>2</v>
      </c>
      <c r="C10" s="163" t="s">
        <v>3</v>
      </c>
      <c r="D10" s="163" t="s">
        <v>4</v>
      </c>
      <c r="E10" s="163" t="s">
        <v>19</v>
      </c>
      <c r="F10" s="163" t="s">
        <v>18</v>
      </c>
      <c r="G10" s="163" t="s">
        <v>17</v>
      </c>
      <c r="H10" s="163" t="s">
        <v>16</v>
      </c>
      <c r="I10" s="163" t="s">
        <v>5</v>
      </c>
      <c r="J10" s="163" t="s">
        <v>6</v>
      </c>
      <c r="K10" s="163" t="s">
        <v>15</v>
      </c>
      <c r="L10" s="163" t="s">
        <v>20</v>
      </c>
      <c r="M10" s="163" t="s">
        <v>126</v>
      </c>
      <c r="N10" s="163" t="s">
        <v>0</v>
      </c>
      <c r="O10" s="163" t="s">
        <v>14</v>
      </c>
      <c r="P10" s="163" t="s">
        <v>127</v>
      </c>
      <c r="Q10" s="163" t="s">
        <v>7</v>
      </c>
      <c r="R10" s="163" t="s">
        <v>8</v>
      </c>
      <c r="S10" s="163" t="s">
        <v>9</v>
      </c>
      <c r="T10" s="163" t="s">
        <v>10</v>
      </c>
      <c r="U10" s="163" t="s">
        <v>11</v>
      </c>
      <c r="V10" s="163" t="s">
        <v>13</v>
      </c>
      <c r="W10" s="163" t="s">
        <v>128</v>
      </c>
    </row>
    <row r="11" spans="1:23" s="275" customFormat="1">
      <c r="A11" s="283">
        <v>1</v>
      </c>
      <c r="B11" s="171" t="s">
        <v>66</v>
      </c>
      <c r="C11" s="284">
        <v>1</v>
      </c>
      <c r="D11" s="284">
        <v>1</v>
      </c>
      <c r="E11" s="171">
        <v>2083.3000000000002</v>
      </c>
      <c r="F11" s="171">
        <f t="shared" ref="F11:F17" si="0">D11*E11</f>
        <v>2083.3000000000002</v>
      </c>
      <c r="G11" s="171">
        <f>F11*12/1000</f>
        <v>24.999600000000001</v>
      </c>
      <c r="H11" s="171">
        <v>2250</v>
      </c>
      <c r="I11" s="268">
        <f t="shared" ref="I11:I16" si="1">H11*C11</f>
        <v>2250</v>
      </c>
      <c r="J11" s="171">
        <f t="shared" ref="J11:J16" si="2">I11-D11*360</f>
        <v>1890</v>
      </c>
      <c r="K11" s="269">
        <f>+J11*5</f>
        <v>9450</v>
      </c>
      <c r="L11" s="171">
        <f>+K11</f>
        <v>9450</v>
      </c>
      <c r="M11" s="171">
        <f>L11*12/1000</f>
        <v>113.4</v>
      </c>
      <c r="N11" s="171">
        <v>8</v>
      </c>
      <c r="O11" s="171">
        <v>0</v>
      </c>
      <c r="P11" s="171">
        <f t="shared" ref="P11:P17" si="3">(N11+O11)*1000*C11</f>
        <v>8000</v>
      </c>
      <c r="Q11" s="171">
        <f t="shared" ref="Q11:Q17" si="4">P11*20%</f>
        <v>1600</v>
      </c>
      <c r="R11" s="171">
        <f>(P11+Q11)*12/1000</f>
        <v>115.2</v>
      </c>
      <c r="S11" s="171">
        <f t="shared" ref="S11:S17" si="5">G11+M11+R11</f>
        <v>253.59960000000001</v>
      </c>
      <c r="T11" s="270"/>
      <c r="U11" s="270"/>
      <c r="V11" s="270"/>
      <c r="W11" s="270">
        <f>+(S11+T11+U11+V11)</f>
        <v>253.59960000000001</v>
      </c>
    </row>
    <row r="12" spans="1:23" s="275" customFormat="1">
      <c r="A12" s="283">
        <v>2</v>
      </c>
      <c r="B12" s="171" t="s">
        <v>81</v>
      </c>
      <c r="C12" s="284">
        <v>39</v>
      </c>
      <c r="D12" s="285">
        <v>39</v>
      </c>
      <c r="E12" s="171">
        <v>2083.3000000000002</v>
      </c>
      <c r="F12" s="171">
        <f t="shared" si="0"/>
        <v>81248.700000000012</v>
      </c>
      <c r="G12" s="171">
        <f t="shared" ref="G12:G17" si="6">F12*12/1000</f>
        <v>974.98440000000016</v>
      </c>
      <c r="H12" s="171">
        <v>1500</v>
      </c>
      <c r="I12" s="268">
        <f t="shared" si="1"/>
        <v>58500</v>
      </c>
      <c r="J12" s="171">
        <f t="shared" si="2"/>
        <v>44460</v>
      </c>
      <c r="K12" s="269">
        <f t="shared" ref="K12:K17" si="7">+J12*5</f>
        <v>222300</v>
      </c>
      <c r="L12" s="171">
        <f t="shared" ref="L12:L17" si="8">+K12</f>
        <v>222300</v>
      </c>
      <c r="M12" s="171">
        <f t="shared" ref="M12:M17" si="9">L12*12/1000</f>
        <v>2667.6</v>
      </c>
      <c r="N12" s="171">
        <v>6</v>
      </c>
      <c r="O12" s="171">
        <v>0</v>
      </c>
      <c r="P12" s="171">
        <f t="shared" si="3"/>
        <v>234000</v>
      </c>
      <c r="Q12" s="171">
        <f t="shared" si="4"/>
        <v>46800</v>
      </c>
      <c r="R12" s="171">
        <f t="shared" ref="R12:R17" si="10">(P12+Q12)*12/1000</f>
        <v>3369.6</v>
      </c>
      <c r="S12" s="171">
        <f t="shared" si="5"/>
        <v>7012.1844000000001</v>
      </c>
      <c r="T12" s="270"/>
      <c r="U12" s="270"/>
      <c r="V12" s="270"/>
      <c r="W12" s="270">
        <f t="shared" ref="W12:W17" si="11">+(S12+T12+U12+V12)</f>
        <v>7012.1844000000001</v>
      </c>
    </row>
    <row r="13" spans="1:23" s="275" customFormat="1">
      <c r="A13" s="283">
        <v>3</v>
      </c>
      <c r="B13" s="171" t="s">
        <v>68</v>
      </c>
      <c r="C13" s="284">
        <v>1</v>
      </c>
      <c r="D13" s="284">
        <v>1</v>
      </c>
      <c r="E13" s="171">
        <v>2083.3000000000002</v>
      </c>
      <c r="F13" s="171">
        <f t="shared" si="0"/>
        <v>2083.3000000000002</v>
      </c>
      <c r="G13" s="171">
        <f t="shared" si="6"/>
        <v>24.999600000000001</v>
      </c>
      <c r="H13" s="171">
        <v>1750</v>
      </c>
      <c r="I13" s="268">
        <f t="shared" si="1"/>
        <v>1750</v>
      </c>
      <c r="J13" s="171">
        <f t="shared" si="2"/>
        <v>1390</v>
      </c>
      <c r="K13" s="269">
        <f t="shared" si="7"/>
        <v>6950</v>
      </c>
      <c r="L13" s="171">
        <f t="shared" si="8"/>
        <v>6950</v>
      </c>
      <c r="M13" s="171">
        <f t="shared" si="9"/>
        <v>83.4</v>
      </c>
      <c r="N13" s="171">
        <v>4</v>
      </c>
      <c r="O13" s="171">
        <v>0</v>
      </c>
      <c r="P13" s="171">
        <f t="shared" si="3"/>
        <v>4000</v>
      </c>
      <c r="Q13" s="171">
        <f t="shared" si="4"/>
        <v>800</v>
      </c>
      <c r="R13" s="171">
        <f t="shared" si="10"/>
        <v>57.6</v>
      </c>
      <c r="S13" s="171">
        <f t="shared" si="5"/>
        <v>165.99960000000002</v>
      </c>
      <c r="T13" s="270"/>
      <c r="U13" s="270"/>
      <c r="V13" s="270"/>
      <c r="W13" s="270">
        <f t="shared" si="11"/>
        <v>165.99960000000002</v>
      </c>
    </row>
    <row r="14" spans="1:23" s="275" customFormat="1">
      <c r="A14" s="283">
        <v>4</v>
      </c>
      <c r="B14" s="171" t="s">
        <v>69</v>
      </c>
      <c r="C14" s="284">
        <v>1</v>
      </c>
      <c r="D14" s="284">
        <v>1</v>
      </c>
      <c r="E14" s="171">
        <v>2083.3000000000002</v>
      </c>
      <c r="F14" s="171">
        <f t="shared" si="0"/>
        <v>2083.3000000000002</v>
      </c>
      <c r="G14" s="171">
        <f t="shared" si="6"/>
        <v>24.999600000000001</v>
      </c>
      <c r="H14" s="171">
        <v>1750</v>
      </c>
      <c r="I14" s="268">
        <f t="shared" si="1"/>
        <v>1750</v>
      </c>
      <c r="J14" s="171">
        <f t="shared" si="2"/>
        <v>1390</v>
      </c>
      <c r="K14" s="269">
        <f t="shared" si="7"/>
        <v>6950</v>
      </c>
      <c r="L14" s="171">
        <f t="shared" si="8"/>
        <v>6950</v>
      </c>
      <c r="M14" s="171">
        <f t="shared" si="9"/>
        <v>83.4</v>
      </c>
      <c r="N14" s="171">
        <v>5</v>
      </c>
      <c r="O14" s="171">
        <v>0</v>
      </c>
      <c r="P14" s="171">
        <f t="shared" si="3"/>
        <v>5000</v>
      </c>
      <c r="Q14" s="171">
        <f t="shared" si="4"/>
        <v>1000</v>
      </c>
      <c r="R14" s="171">
        <f t="shared" si="10"/>
        <v>72</v>
      </c>
      <c r="S14" s="171">
        <f t="shared" si="5"/>
        <v>180.39960000000002</v>
      </c>
      <c r="T14" s="270"/>
      <c r="U14" s="270"/>
      <c r="V14" s="270"/>
      <c r="W14" s="270">
        <f t="shared" si="11"/>
        <v>180.39960000000002</v>
      </c>
    </row>
    <row r="15" spans="1:23" s="275" customFormat="1">
      <c r="A15" s="283">
        <v>5</v>
      </c>
      <c r="B15" s="171" t="s">
        <v>70</v>
      </c>
      <c r="C15" s="284">
        <v>1</v>
      </c>
      <c r="D15" s="284">
        <v>1</v>
      </c>
      <c r="E15" s="171">
        <v>2083.3000000000002</v>
      </c>
      <c r="F15" s="171">
        <f t="shared" si="0"/>
        <v>2083.3000000000002</v>
      </c>
      <c r="G15" s="171">
        <f t="shared" si="6"/>
        <v>24.999600000000001</v>
      </c>
      <c r="H15" s="171">
        <v>1250</v>
      </c>
      <c r="I15" s="268">
        <f t="shared" si="1"/>
        <v>1250</v>
      </c>
      <c r="J15" s="171">
        <f t="shared" si="2"/>
        <v>890</v>
      </c>
      <c r="K15" s="269">
        <f t="shared" si="7"/>
        <v>4450</v>
      </c>
      <c r="L15" s="171">
        <f t="shared" si="8"/>
        <v>4450</v>
      </c>
      <c r="M15" s="171">
        <f t="shared" si="9"/>
        <v>53.4</v>
      </c>
      <c r="N15" s="171">
        <v>2</v>
      </c>
      <c r="O15" s="171">
        <v>0</v>
      </c>
      <c r="P15" s="171">
        <f t="shared" si="3"/>
        <v>2000</v>
      </c>
      <c r="Q15" s="171">
        <f t="shared" si="4"/>
        <v>400</v>
      </c>
      <c r="R15" s="171">
        <f t="shared" si="10"/>
        <v>28.8</v>
      </c>
      <c r="S15" s="171">
        <f t="shared" si="5"/>
        <v>107.19959999999999</v>
      </c>
      <c r="T15" s="270"/>
      <c r="U15" s="270"/>
      <c r="V15" s="270"/>
      <c r="W15" s="270">
        <f t="shared" si="11"/>
        <v>107.19959999999999</v>
      </c>
    </row>
    <row r="16" spans="1:23" s="275" customFormat="1">
      <c r="A16" s="283">
        <v>7</v>
      </c>
      <c r="B16" s="276" t="s">
        <v>73</v>
      </c>
      <c r="C16" s="284">
        <v>180</v>
      </c>
      <c r="D16" s="284">
        <v>22</v>
      </c>
      <c r="E16" s="171">
        <v>2083.3000000000002</v>
      </c>
      <c r="F16" s="171">
        <f t="shared" si="0"/>
        <v>45832.600000000006</v>
      </c>
      <c r="G16" s="171">
        <f t="shared" si="6"/>
        <v>549.99120000000005</v>
      </c>
      <c r="H16" s="171">
        <v>100</v>
      </c>
      <c r="I16" s="268">
        <f t="shared" si="1"/>
        <v>18000</v>
      </c>
      <c r="J16" s="171">
        <f t="shared" si="2"/>
        <v>10080</v>
      </c>
      <c r="K16" s="269">
        <f t="shared" si="7"/>
        <v>50400</v>
      </c>
      <c r="L16" s="171">
        <f t="shared" si="8"/>
        <v>50400</v>
      </c>
      <c r="M16" s="171">
        <f t="shared" si="9"/>
        <v>604.79999999999995</v>
      </c>
      <c r="N16" s="171">
        <v>0.5</v>
      </c>
      <c r="O16" s="171">
        <v>0</v>
      </c>
      <c r="P16" s="171">
        <f t="shared" si="3"/>
        <v>90000</v>
      </c>
      <c r="Q16" s="171">
        <f t="shared" si="4"/>
        <v>18000</v>
      </c>
      <c r="R16" s="171">
        <f t="shared" si="10"/>
        <v>1296</v>
      </c>
      <c r="S16" s="171">
        <f t="shared" si="5"/>
        <v>2450.7912000000001</v>
      </c>
      <c r="T16" s="270"/>
      <c r="U16" s="270"/>
      <c r="V16" s="270"/>
      <c r="W16" s="270">
        <f t="shared" si="11"/>
        <v>2450.7912000000001</v>
      </c>
    </row>
    <row r="17" spans="1:23" s="275" customFormat="1">
      <c r="A17" s="283">
        <v>8</v>
      </c>
      <c r="B17" s="171" t="s">
        <v>72</v>
      </c>
      <c r="C17" s="284">
        <v>48</v>
      </c>
      <c r="D17" s="284">
        <v>3</v>
      </c>
      <c r="E17" s="171">
        <v>2083.3000000000002</v>
      </c>
      <c r="F17" s="171">
        <f t="shared" si="0"/>
        <v>6249.9000000000005</v>
      </c>
      <c r="G17" s="171">
        <f t="shared" si="6"/>
        <v>74.998800000000003</v>
      </c>
      <c r="H17" s="171">
        <v>360</v>
      </c>
      <c r="I17" s="268">
        <f>H17*D17</f>
        <v>1080</v>
      </c>
      <c r="J17" s="171">
        <f>I17-D17*360</f>
        <v>0</v>
      </c>
      <c r="K17" s="269">
        <f t="shared" si="7"/>
        <v>0</v>
      </c>
      <c r="L17" s="171">
        <f t="shared" si="8"/>
        <v>0</v>
      </c>
      <c r="M17" s="171">
        <f t="shared" si="9"/>
        <v>0</v>
      </c>
      <c r="N17" s="171">
        <v>0</v>
      </c>
      <c r="O17" s="171">
        <v>0</v>
      </c>
      <c r="P17" s="171">
        <f t="shared" si="3"/>
        <v>0</v>
      </c>
      <c r="Q17" s="171">
        <f t="shared" si="4"/>
        <v>0</v>
      </c>
      <c r="R17" s="171">
        <f t="shared" si="10"/>
        <v>0</v>
      </c>
      <c r="S17" s="171">
        <f t="shared" si="5"/>
        <v>74.998800000000003</v>
      </c>
      <c r="T17" s="271"/>
      <c r="U17" s="271"/>
      <c r="V17" s="271"/>
      <c r="W17" s="270">
        <f t="shared" si="11"/>
        <v>74.998800000000003</v>
      </c>
    </row>
    <row r="18" spans="1:23" s="275" customFormat="1">
      <c r="A18" s="272"/>
      <c r="B18" s="277" t="s">
        <v>24</v>
      </c>
      <c r="C18" s="286">
        <f>SUM(C11:C17)</f>
        <v>271</v>
      </c>
      <c r="D18" s="286">
        <f>SUM(D11:D17)</f>
        <v>68</v>
      </c>
      <c r="E18" s="272"/>
      <c r="F18" s="272">
        <f>SUM(F11:F17)</f>
        <v>141664.40000000002</v>
      </c>
      <c r="G18" s="272">
        <f>SUM(G11:G17)</f>
        <v>1699.9728000000007</v>
      </c>
      <c r="H18" s="272"/>
      <c r="I18" s="272">
        <f>SUM(I11:I17)</f>
        <v>84580</v>
      </c>
      <c r="J18" s="272"/>
      <c r="K18" s="273"/>
      <c r="L18" s="272">
        <f>SUM(L11:L17)</f>
        <v>300500</v>
      </c>
      <c r="M18" s="272">
        <f>SUM(M11:M17)</f>
        <v>3606</v>
      </c>
      <c r="N18" s="272"/>
      <c r="O18" s="272"/>
      <c r="P18" s="272"/>
      <c r="Q18" s="272"/>
      <c r="R18" s="272">
        <f>SUM(R11:R17)</f>
        <v>4939.2</v>
      </c>
      <c r="S18" s="274">
        <f>(R18+M18+G18)</f>
        <v>10245.172800000002</v>
      </c>
      <c r="T18" s="272">
        <f>SUM(T9:T15)</f>
        <v>0</v>
      </c>
      <c r="U18" s="272">
        <f>SUM(U9:U15)</f>
        <v>0</v>
      </c>
      <c r="V18" s="272">
        <f>SUM(V9:V15)</f>
        <v>0</v>
      </c>
      <c r="W18" s="272">
        <f>SUM(W11:W17)</f>
        <v>10245.172799999998</v>
      </c>
    </row>
    <row r="19" spans="1:23">
      <c r="A19" s="119"/>
      <c r="B19" s="120"/>
      <c r="C19" s="121"/>
      <c r="D19" s="121"/>
      <c r="E19" s="121"/>
      <c r="F19" s="121"/>
      <c r="G19" s="124">
        <f>G18</f>
        <v>1699.9728000000007</v>
      </c>
      <c r="H19" s="121"/>
      <c r="I19" s="119"/>
      <c r="J19" s="55"/>
      <c r="K19" s="55"/>
      <c r="L19" s="55"/>
      <c r="M19" s="55"/>
      <c r="N19" s="55"/>
      <c r="O19" s="55"/>
      <c r="P19" s="55"/>
      <c r="Q19" s="55"/>
      <c r="R19" s="122">
        <f>(R18+M18)</f>
        <v>8545.2000000000007</v>
      </c>
      <c r="S19" s="55"/>
      <c r="T19" s="55"/>
      <c r="U19" s="55"/>
      <c r="V19" s="55"/>
      <c r="W19" s="55"/>
    </row>
    <row r="21" spans="1:23">
      <c r="B21" s="341" t="s">
        <v>134</v>
      </c>
      <c r="C21" s="342"/>
      <c r="D21" s="56" t="s">
        <v>135</v>
      </c>
      <c r="E21" s="1" t="s">
        <v>136</v>
      </c>
      <c r="F21" s="1" t="s">
        <v>137</v>
      </c>
      <c r="G21" s="1" t="s">
        <v>138</v>
      </c>
      <c r="H21" s="1" t="s">
        <v>139</v>
      </c>
    </row>
    <row r="22" spans="1:23" ht="45.75" customHeight="1">
      <c r="B22" s="354" t="s">
        <v>202</v>
      </c>
      <c r="C22" s="355"/>
      <c r="D22" s="56">
        <v>40</v>
      </c>
      <c r="E22" s="1">
        <v>164</v>
      </c>
      <c r="F22" s="1"/>
      <c r="G22" s="1">
        <v>67</v>
      </c>
      <c r="H22" s="34">
        <f t="shared" ref="H22:H24" si="12">SUM(D22:G22)</f>
        <v>271</v>
      </c>
    </row>
    <row r="23" spans="1:23" hidden="1">
      <c r="B23" s="348"/>
      <c r="C23" s="349"/>
      <c r="D23" s="56"/>
      <c r="E23" s="1"/>
      <c r="F23" s="1"/>
      <c r="G23" s="1"/>
      <c r="H23" s="34">
        <f t="shared" ref="H23" si="13">SUM(D23:G23)</f>
        <v>0</v>
      </c>
    </row>
    <row r="24" spans="1:23" hidden="1">
      <c r="B24" s="348"/>
      <c r="C24" s="349"/>
      <c r="D24" s="56"/>
      <c r="E24" s="1"/>
      <c r="F24" s="1"/>
      <c r="G24" s="1"/>
      <c r="H24" s="34">
        <f t="shared" si="12"/>
        <v>0</v>
      </c>
    </row>
    <row r="25" spans="1:23">
      <c r="B25" s="59" t="s">
        <v>24</v>
      </c>
      <c r="C25" s="56"/>
      <c r="D25" s="60">
        <f>SUM(D22:D24)</f>
        <v>40</v>
      </c>
      <c r="E25" s="60">
        <f>SUM(E22:E24)</f>
        <v>164</v>
      </c>
      <c r="F25" s="60">
        <f>SUM(F22:F24)</f>
        <v>0</v>
      </c>
      <c r="G25" s="60">
        <f>SUM(G22:G24)</f>
        <v>67</v>
      </c>
      <c r="H25" s="60">
        <f>SUM(H22:H24)</f>
        <v>271</v>
      </c>
    </row>
  </sheetData>
  <mergeCells count="20">
    <mergeCell ref="B21:C21"/>
    <mergeCell ref="B22:C22"/>
    <mergeCell ref="B24:C24"/>
    <mergeCell ref="B23:C23"/>
    <mergeCell ref="B1:F1"/>
    <mergeCell ref="Q2:S2"/>
    <mergeCell ref="N8:R8"/>
    <mergeCell ref="S8:S9"/>
    <mergeCell ref="A6:W6"/>
    <mergeCell ref="A5:W5"/>
    <mergeCell ref="C3:H3"/>
    <mergeCell ref="T8:T9"/>
    <mergeCell ref="A8:A9"/>
    <mergeCell ref="B8:B9"/>
    <mergeCell ref="C8:C9"/>
    <mergeCell ref="D8:G8"/>
    <mergeCell ref="H8:M8"/>
    <mergeCell ref="U8:U9"/>
    <mergeCell ref="V8:V9"/>
    <mergeCell ref="W8:W9"/>
  </mergeCells>
  <pageMargins left="0.7" right="0.7" top="0.75" bottom="0.75" header="0.3" footer="0.3"/>
  <pageSetup paperSize="9" scale="55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W23"/>
  <sheetViews>
    <sheetView topLeftCell="I1" workbookViewId="0">
      <selection activeCell="R23" sqref="R23"/>
    </sheetView>
  </sheetViews>
  <sheetFormatPr defaultColWidth="9.140625" defaultRowHeight="16.5"/>
  <cols>
    <col min="1" max="1" width="2.28515625" style="76" bestFit="1" customWidth="1"/>
    <col min="2" max="2" width="24.5703125" style="76" customWidth="1"/>
    <col min="3" max="4" width="9.28515625" style="76" bestFit="1" customWidth="1"/>
    <col min="5" max="5" width="9.42578125" style="76" bestFit="1" customWidth="1"/>
    <col min="6" max="6" width="10" style="76" bestFit="1" customWidth="1"/>
    <col min="7" max="7" width="11.7109375" style="76" bestFit="1" customWidth="1"/>
    <col min="8" max="10" width="9.42578125" style="76" bestFit="1" customWidth="1"/>
    <col min="11" max="11" width="9.7109375" style="76" bestFit="1" customWidth="1"/>
    <col min="12" max="12" width="10.140625" style="76" bestFit="1" customWidth="1"/>
    <col min="13" max="13" width="10.28515625" style="76" customWidth="1"/>
    <col min="14" max="15" width="9.28515625" style="76" bestFit="1" customWidth="1"/>
    <col min="16" max="16" width="9.5703125" style="76" bestFit="1" customWidth="1"/>
    <col min="17" max="17" width="9.28515625" style="76" bestFit="1" customWidth="1"/>
    <col min="18" max="19" width="10.42578125" style="76" customWidth="1"/>
    <col min="20" max="22" width="9.28515625" style="76" bestFit="1" customWidth="1"/>
    <col min="23" max="23" width="11" style="76" customWidth="1"/>
    <col min="24" max="16384" width="9.140625" style="76"/>
  </cols>
  <sheetData>
    <row r="1" spans="1:23" s="7" customFormat="1" ht="23.25" customHeight="1">
      <c r="A1" s="4"/>
      <c r="B1" s="332"/>
      <c r="C1" s="333"/>
      <c r="D1" s="333"/>
      <c r="E1" s="333"/>
      <c r="F1" s="333"/>
      <c r="G1" s="22"/>
      <c r="H1" s="22"/>
      <c r="I1" s="5"/>
      <c r="J1" s="5"/>
      <c r="K1" s="5"/>
      <c r="L1" s="5"/>
      <c r="Q1" s="5"/>
      <c r="R1" s="240" t="s">
        <v>47</v>
      </c>
      <c r="S1" s="22"/>
    </row>
    <row r="2" spans="1:23" s="7" customFormat="1" ht="15" customHeight="1">
      <c r="A2" s="4"/>
      <c r="B2" s="241"/>
      <c r="C2" s="242"/>
      <c r="D2" s="242"/>
      <c r="E2" s="242"/>
      <c r="F2" s="22"/>
      <c r="G2" s="22"/>
      <c r="H2" s="22"/>
      <c r="I2" s="5"/>
      <c r="J2" s="5"/>
      <c r="K2" s="5"/>
      <c r="L2" s="5"/>
      <c r="Q2" s="314" t="s">
        <v>21</v>
      </c>
      <c r="R2" s="314"/>
      <c r="S2" s="314"/>
    </row>
    <row r="3" spans="1:23" s="7" customFormat="1" ht="37.5" customHeight="1" thickBot="1">
      <c r="B3" s="9" t="s">
        <v>65</v>
      </c>
      <c r="C3" s="251" t="s">
        <v>204</v>
      </c>
      <c r="D3" s="250"/>
      <c r="E3" s="250"/>
      <c r="F3" s="250"/>
      <c r="G3" s="250"/>
      <c r="H3" s="250"/>
      <c r="I3" s="5"/>
      <c r="J3" s="5"/>
      <c r="K3" s="5"/>
      <c r="L3" s="5"/>
    </row>
    <row r="4" spans="1:23" s="7" customFormat="1" ht="12.75" customHeight="1">
      <c r="A4" s="4"/>
      <c r="B4" s="22"/>
      <c r="C4" s="22"/>
      <c r="D4" s="25"/>
      <c r="E4" s="25"/>
      <c r="F4" s="22"/>
      <c r="G4" s="22"/>
      <c r="H4" s="22"/>
      <c r="I4" s="26"/>
      <c r="J4" s="5"/>
      <c r="K4" s="5"/>
      <c r="L4" s="5"/>
      <c r="M4" s="5"/>
      <c r="Q4" s="5"/>
      <c r="R4" s="5"/>
      <c r="S4" s="5"/>
    </row>
    <row r="5" spans="1:23" s="14" customFormat="1" ht="15" customHeight="1">
      <c r="A5" s="337" t="s">
        <v>22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</row>
    <row r="6" spans="1:23" s="14" customFormat="1" ht="15" customHeight="1">
      <c r="A6" s="337" t="s">
        <v>212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</row>
    <row r="7" spans="1:23" s="14" customFormat="1" ht="12.75">
      <c r="A7" s="6"/>
      <c r="B7" s="27"/>
      <c r="C7" s="27"/>
      <c r="D7" s="27"/>
      <c r="E7" s="27"/>
      <c r="F7" s="27"/>
      <c r="G7" s="27"/>
      <c r="H7" s="27"/>
      <c r="I7" s="28"/>
      <c r="J7" s="28"/>
      <c r="K7" s="28"/>
      <c r="L7" s="28"/>
      <c r="M7" s="28"/>
      <c r="N7" s="28"/>
      <c r="O7" s="6"/>
      <c r="P7" s="6"/>
    </row>
    <row r="8" spans="1:23">
      <c r="A8" s="343" t="s">
        <v>0</v>
      </c>
      <c r="B8" s="343" t="s">
        <v>54</v>
      </c>
      <c r="C8" s="343" t="s">
        <v>55</v>
      </c>
      <c r="D8" s="345" t="s">
        <v>56</v>
      </c>
      <c r="E8" s="346"/>
      <c r="F8" s="346"/>
      <c r="G8" s="347"/>
      <c r="H8" s="345" t="s">
        <v>57</v>
      </c>
      <c r="I8" s="346"/>
      <c r="J8" s="346"/>
      <c r="K8" s="346"/>
      <c r="L8" s="346"/>
      <c r="M8" s="347"/>
      <c r="N8" s="345" t="s">
        <v>58</v>
      </c>
      <c r="O8" s="346"/>
      <c r="P8" s="346"/>
      <c r="Q8" s="346"/>
      <c r="R8" s="347"/>
      <c r="S8" s="343" t="s">
        <v>118</v>
      </c>
      <c r="T8" s="343" t="s">
        <v>119</v>
      </c>
      <c r="U8" s="343" t="s">
        <v>120</v>
      </c>
      <c r="V8" s="343" t="s">
        <v>121</v>
      </c>
      <c r="W8" s="343" t="s">
        <v>122</v>
      </c>
    </row>
    <row r="9" spans="1:23" ht="51">
      <c r="A9" s="344"/>
      <c r="B9" s="344"/>
      <c r="C9" s="344"/>
      <c r="D9" s="53" t="s">
        <v>59</v>
      </c>
      <c r="E9" s="53" t="s">
        <v>60</v>
      </c>
      <c r="F9" s="53" t="s">
        <v>123</v>
      </c>
      <c r="G9" s="53" t="s">
        <v>214</v>
      </c>
      <c r="H9" s="53" t="s">
        <v>61</v>
      </c>
      <c r="I9" s="53" t="s">
        <v>132</v>
      </c>
      <c r="J9" s="53" t="s">
        <v>124</v>
      </c>
      <c r="K9" s="53" t="s">
        <v>131</v>
      </c>
      <c r="L9" s="53" t="s">
        <v>130</v>
      </c>
      <c r="M9" s="53" t="s">
        <v>213</v>
      </c>
      <c r="N9" s="53" t="s">
        <v>63</v>
      </c>
      <c r="O9" s="53" t="s">
        <v>64</v>
      </c>
      <c r="P9" s="53" t="s">
        <v>129</v>
      </c>
      <c r="Q9" s="54" t="s">
        <v>125</v>
      </c>
      <c r="R9" s="53" t="s">
        <v>215</v>
      </c>
      <c r="S9" s="344"/>
      <c r="T9" s="344"/>
      <c r="U9" s="344"/>
      <c r="V9" s="344"/>
      <c r="W9" s="344"/>
    </row>
    <row r="10" spans="1:23">
      <c r="A10" s="201" t="s">
        <v>117</v>
      </c>
      <c r="B10" s="201" t="s">
        <v>2</v>
      </c>
      <c r="C10" s="201" t="s">
        <v>3</v>
      </c>
      <c r="D10" s="201" t="s">
        <v>4</v>
      </c>
      <c r="E10" s="201" t="s">
        <v>19</v>
      </c>
      <c r="F10" s="201" t="s">
        <v>18</v>
      </c>
      <c r="G10" s="201" t="s">
        <v>17</v>
      </c>
      <c r="H10" s="201" t="s">
        <v>16</v>
      </c>
      <c r="I10" s="201" t="s">
        <v>5</v>
      </c>
      <c r="J10" s="201" t="s">
        <v>6</v>
      </c>
      <c r="K10" s="201" t="s">
        <v>15</v>
      </c>
      <c r="L10" s="201" t="s">
        <v>20</v>
      </c>
      <c r="M10" s="201" t="s">
        <v>126</v>
      </c>
      <c r="N10" s="201" t="s">
        <v>0</v>
      </c>
      <c r="O10" s="201" t="s">
        <v>14</v>
      </c>
      <c r="P10" s="201" t="s">
        <v>127</v>
      </c>
      <c r="Q10" s="201" t="s">
        <v>7</v>
      </c>
      <c r="R10" s="201" t="s">
        <v>8</v>
      </c>
      <c r="S10" s="201" t="s">
        <v>9</v>
      </c>
      <c r="T10" s="201" t="s">
        <v>10</v>
      </c>
      <c r="U10" s="201" t="s">
        <v>11</v>
      </c>
      <c r="V10" s="201" t="s">
        <v>13</v>
      </c>
      <c r="W10" s="201" t="s">
        <v>128</v>
      </c>
    </row>
    <row r="11" spans="1:23">
      <c r="A11" s="1">
        <v>1</v>
      </c>
      <c r="B11" s="1" t="s">
        <v>66</v>
      </c>
      <c r="C11" s="127">
        <v>1</v>
      </c>
      <c r="D11" s="127">
        <v>1</v>
      </c>
      <c r="E11" s="171">
        <v>2083.3000000000002</v>
      </c>
      <c r="F11" s="171">
        <f t="shared" ref="F11:F17" si="0">D11*E11</f>
        <v>2083.3000000000002</v>
      </c>
      <c r="G11" s="171">
        <f>F11*12/1000</f>
        <v>24.999600000000001</v>
      </c>
      <c r="H11" s="171">
        <v>2250</v>
      </c>
      <c r="I11" s="268">
        <f t="shared" ref="I11:I16" si="1">H11*C11</f>
        <v>2250</v>
      </c>
      <c r="J11" s="171">
        <f t="shared" ref="J11:J16" si="2">I11-D11*360</f>
        <v>1890</v>
      </c>
      <c r="K11" s="269">
        <f>+J11*5</f>
        <v>9450</v>
      </c>
      <c r="L11" s="171">
        <f>+K11</f>
        <v>9450</v>
      </c>
      <c r="M11" s="171">
        <f>L11*12/1000</f>
        <v>113.4</v>
      </c>
      <c r="N11" s="171">
        <v>8</v>
      </c>
      <c r="O11" s="171">
        <v>0</v>
      </c>
      <c r="P11" s="171">
        <f t="shared" ref="P11:P17" si="3">(N11+O11)*1000*C11</f>
        <v>8000</v>
      </c>
      <c r="Q11" s="171">
        <f t="shared" ref="Q11:Q17" si="4">P11*20%</f>
        <v>1600</v>
      </c>
      <c r="R11" s="171">
        <f>(P11+Q11)*12/1000</f>
        <v>115.2</v>
      </c>
      <c r="S11" s="171">
        <f t="shared" ref="S11:S17" si="5">G11+M11+R11</f>
        <v>253.59960000000001</v>
      </c>
      <c r="T11" s="270"/>
      <c r="U11" s="270"/>
      <c r="V11" s="270"/>
      <c r="W11" s="270">
        <f>+(S11+T11+U11+V11)</f>
        <v>253.59960000000001</v>
      </c>
    </row>
    <row r="12" spans="1:23">
      <c r="A12" s="1">
        <v>2</v>
      </c>
      <c r="B12" s="1" t="s">
        <v>81</v>
      </c>
      <c r="C12" s="127">
        <v>36</v>
      </c>
      <c r="D12" s="197">
        <v>36</v>
      </c>
      <c r="E12" s="171">
        <v>2083.3000000000002</v>
      </c>
      <c r="F12" s="171">
        <f t="shared" si="0"/>
        <v>74998.8</v>
      </c>
      <c r="G12" s="171">
        <f t="shared" ref="G12:G17" si="6">F12*12/1000</f>
        <v>899.98560000000009</v>
      </c>
      <c r="H12" s="171">
        <v>1500</v>
      </c>
      <c r="I12" s="268">
        <f t="shared" si="1"/>
        <v>54000</v>
      </c>
      <c r="J12" s="171">
        <f t="shared" si="2"/>
        <v>41040</v>
      </c>
      <c r="K12" s="269">
        <f t="shared" ref="K12:K17" si="7">+J12*5</f>
        <v>205200</v>
      </c>
      <c r="L12" s="171">
        <f t="shared" ref="L12:L17" si="8">+K12</f>
        <v>205200</v>
      </c>
      <c r="M12" s="171">
        <f t="shared" ref="M12:M17" si="9">L12*12/1000</f>
        <v>2462.4</v>
      </c>
      <c r="N12" s="171">
        <v>6</v>
      </c>
      <c r="O12" s="171">
        <v>0</v>
      </c>
      <c r="P12" s="171">
        <f t="shared" si="3"/>
        <v>216000</v>
      </c>
      <c r="Q12" s="171">
        <f t="shared" si="4"/>
        <v>43200</v>
      </c>
      <c r="R12" s="171">
        <f t="shared" ref="R12:R17" si="10">(P12+Q12)*12/1000</f>
        <v>3110.4</v>
      </c>
      <c r="S12" s="171">
        <f t="shared" si="5"/>
        <v>6472.7856000000002</v>
      </c>
      <c r="T12" s="270"/>
      <c r="U12" s="270"/>
      <c r="V12" s="270"/>
      <c r="W12" s="270">
        <f t="shared" ref="W12:W17" si="11">+(S12+T12+U12+V12)</f>
        <v>6472.7856000000002</v>
      </c>
    </row>
    <row r="13" spans="1:23">
      <c r="A13" s="1">
        <v>3</v>
      </c>
      <c r="B13" s="1" t="s">
        <v>68</v>
      </c>
      <c r="C13" s="127">
        <v>1</v>
      </c>
      <c r="D13" s="127">
        <v>1</v>
      </c>
      <c r="E13" s="171">
        <v>2083.3000000000002</v>
      </c>
      <c r="F13" s="171">
        <f t="shared" si="0"/>
        <v>2083.3000000000002</v>
      </c>
      <c r="G13" s="171">
        <f t="shared" si="6"/>
        <v>24.999600000000001</v>
      </c>
      <c r="H13" s="171">
        <v>1750</v>
      </c>
      <c r="I13" s="268">
        <f t="shared" si="1"/>
        <v>1750</v>
      </c>
      <c r="J13" s="171">
        <f t="shared" si="2"/>
        <v>1390</v>
      </c>
      <c r="K13" s="269">
        <f t="shared" si="7"/>
        <v>6950</v>
      </c>
      <c r="L13" s="171">
        <f t="shared" si="8"/>
        <v>6950</v>
      </c>
      <c r="M13" s="171">
        <f t="shared" si="9"/>
        <v>83.4</v>
      </c>
      <c r="N13" s="171">
        <v>4</v>
      </c>
      <c r="O13" s="171">
        <v>0</v>
      </c>
      <c r="P13" s="171">
        <f t="shared" si="3"/>
        <v>4000</v>
      </c>
      <c r="Q13" s="171">
        <f t="shared" si="4"/>
        <v>800</v>
      </c>
      <c r="R13" s="171">
        <f t="shared" si="10"/>
        <v>57.6</v>
      </c>
      <c r="S13" s="171">
        <f t="shared" si="5"/>
        <v>165.99960000000002</v>
      </c>
      <c r="T13" s="270"/>
      <c r="U13" s="270"/>
      <c r="V13" s="270"/>
      <c r="W13" s="270">
        <f t="shared" si="11"/>
        <v>165.99960000000002</v>
      </c>
    </row>
    <row r="14" spans="1:23">
      <c r="A14" s="1">
        <v>4</v>
      </c>
      <c r="B14" s="1" t="s">
        <v>69</v>
      </c>
      <c r="C14" s="127">
        <v>1</v>
      </c>
      <c r="D14" s="127">
        <v>1</v>
      </c>
      <c r="E14" s="171">
        <v>2083.3000000000002</v>
      </c>
      <c r="F14" s="171">
        <f t="shared" si="0"/>
        <v>2083.3000000000002</v>
      </c>
      <c r="G14" s="171">
        <f t="shared" si="6"/>
        <v>24.999600000000001</v>
      </c>
      <c r="H14" s="171">
        <v>1750</v>
      </c>
      <c r="I14" s="268">
        <f t="shared" si="1"/>
        <v>1750</v>
      </c>
      <c r="J14" s="171">
        <f t="shared" si="2"/>
        <v>1390</v>
      </c>
      <c r="K14" s="269">
        <f t="shared" si="7"/>
        <v>6950</v>
      </c>
      <c r="L14" s="171">
        <f t="shared" si="8"/>
        <v>6950</v>
      </c>
      <c r="M14" s="171">
        <f t="shared" si="9"/>
        <v>83.4</v>
      </c>
      <c r="N14" s="171">
        <v>5</v>
      </c>
      <c r="O14" s="171">
        <v>0</v>
      </c>
      <c r="P14" s="171">
        <f t="shared" si="3"/>
        <v>5000</v>
      </c>
      <c r="Q14" s="171">
        <f t="shared" si="4"/>
        <v>1000</v>
      </c>
      <c r="R14" s="171">
        <f t="shared" si="10"/>
        <v>72</v>
      </c>
      <c r="S14" s="171">
        <f t="shared" si="5"/>
        <v>180.39960000000002</v>
      </c>
      <c r="T14" s="270"/>
      <c r="U14" s="270"/>
      <c r="V14" s="270"/>
      <c r="W14" s="270">
        <f t="shared" si="11"/>
        <v>180.39960000000002</v>
      </c>
    </row>
    <row r="15" spans="1:23">
      <c r="A15" s="1">
        <v>5</v>
      </c>
      <c r="B15" s="1" t="s">
        <v>70</v>
      </c>
      <c r="C15" s="127">
        <v>1</v>
      </c>
      <c r="D15" s="127">
        <v>1</v>
      </c>
      <c r="E15" s="171">
        <v>2083.3000000000002</v>
      </c>
      <c r="F15" s="171">
        <f t="shared" si="0"/>
        <v>2083.3000000000002</v>
      </c>
      <c r="G15" s="171">
        <f t="shared" si="6"/>
        <v>24.999600000000001</v>
      </c>
      <c r="H15" s="171">
        <v>1250</v>
      </c>
      <c r="I15" s="268">
        <f t="shared" si="1"/>
        <v>1250</v>
      </c>
      <c r="J15" s="171">
        <f t="shared" si="2"/>
        <v>890</v>
      </c>
      <c r="K15" s="269">
        <f t="shared" si="7"/>
        <v>4450</v>
      </c>
      <c r="L15" s="171">
        <f t="shared" si="8"/>
        <v>4450</v>
      </c>
      <c r="M15" s="171">
        <f t="shared" si="9"/>
        <v>53.4</v>
      </c>
      <c r="N15" s="171">
        <v>2</v>
      </c>
      <c r="O15" s="171">
        <v>0</v>
      </c>
      <c r="P15" s="171">
        <f t="shared" si="3"/>
        <v>2000</v>
      </c>
      <c r="Q15" s="171">
        <f t="shared" si="4"/>
        <v>400</v>
      </c>
      <c r="R15" s="171">
        <f t="shared" si="10"/>
        <v>28.8</v>
      </c>
      <c r="S15" s="171">
        <f t="shared" si="5"/>
        <v>107.19959999999999</v>
      </c>
      <c r="T15" s="270"/>
      <c r="U15" s="270"/>
      <c r="V15" s="270"/>
      <c r="W15" s="270">
        <f t="shared" si="11"/>
        <v>107.19959999999999</v>
      </c>
    </row>
    <row r="16" spans="1:23">
      <c r="A16" s="1">
        <v>7</v>
      </c>
      <c r="B16" s="33" t="s">
        <v>73</v>
      </c>
      <c r="C16" s="127">
        <v>142</v>
      </c>
      <c r="D16" s="127">
        <v>29</v>
      </c>
      <c r="E16" s="171">
        <v>2083.3000000000002</v>
      </c>
      <c r="F16" s="171">
        <f t="shared" si="0"/>
        <v>60415.700000000004</v>
      </c>
      <c r="G16" s="171">
        <f t="shared" si="6"/>
        <v>724.98840000000007</v>
      </c>
      <c r="H16" s="171">
        <v>100</v>
      </c>
      <c r="I16" s="268">
        <f t="shared" si="1"/>
        <v>14200</v>
      </c>
      <c r="J16" s="171">
        <f t="shared" si="2"/>
        <v>3760</v>
      </c>
      <c r="K16" s="269">
        <f t="shared" si="7"/>
        <v>18800</v>
      </c>
      <c r="L16" s="171">
        <f t="shared" si="8"/>
        <v>18800</v>
      </c>
      <c r="M16" s="171">
        <f t="shared" si="9"/>
        <v>225.6</v>
      </c>
      <c r="N16" s="171">
        <v>0.5</v>
      </c>
      <c r="O16" s="171">
        <v>0</v>
      </c>
      <c r="P16" s="171">
        <f t="shared" si="3"/>
        <v>71000</v>
      </c>
      <c r="Q16" s="171">
        <f t="shared" si="4"/>
        <v>14200</v>
      </c>
      <c r="R16" s="171">
        <f t="shared" si="10"/>
        <v>1022.4</v>
      </c>
      <c r="S16" s="171">
        <f t="shared" si="5"/>
        <v>1972.9884000000002</v>
      </c>
      <c r="T16" s="270"/>
      <c r="U16" s="270"/>
      <c r="V16" s="270"/>
      <c r="W16" s="270">
        <f t="shared" si="11"/>
        <v>1972.9884000000002</v>
      </c>
    </row>
    <row r="17" spans="1:23">
      <c r="A17" s="1">
        <v>8</v>
      </c>
      <c r="B17" s="1" t="s">
        <v>72</v>
      </c>
      <c r="C17" s="127">
        <v>104</v>
      </c>
      <c r="D17" s="127">
        <v>3</v>
      </c>
      <c r="E17" s="171">
        <v>2083.3000000000002</v>
      </c>
      <c r="F17" s="171">
        <f t="shared" si="0"/>
        <v>6249.9000000000005</v>
      </c>
      <c r="G17" s="171">
        <f t="shared" si="6"/>
        <v>74.998800000000003</v>
      </c>
      <c r="H17" s="171">
        <v>360</v>
      </c>
      <c r="I17" s="268">
        <f>H17*D17</f>
        <v>1080</v>
      </c>
      <c r="J17" s="171">
        <f>I17-D17*360</f>
        <v>0</v>
      </c>
      <c r="K17" s="269">
        <f t="shared" si="7"/>
        <v>0</v>
      </c>
      <c r="L17" s="171">
        <f t="shared" si="8"/>
        <v>0</v>
      </c>
      <c r="M17" s="171">
        <f t="shared" si="9"/>
        <v>0</v>
      </c>
      <c r="N17" s="171">
        <v>0</v>
      </c>
      <c r="O17" s="171">
        <v>0</v>
      </c>
      <c r="P17" s="171">
        <f t="shared" si="3"/>
        <v>0</v>
      </c>
      <c r="Q17" s="171">
        <f t="shared" si="4"/>
        <v>0</v>
      </c>
      <c r="R17" s="171">
        <f t="shared" si="10"/>
        <v>0</v>
      </c>
      <c r="S17" s="171">
        <f t="shared" si="5"/>
        <v>74.998800000000003</v>
      </c>
      <c r="T17" s="271"/>
      <c r="U17" s="271"/>
      <c r="V17" s="271"/>
      <c r="W17" s="270">
        <f t="shared" si="11"/>
        <v>74.998800000000003</v>
      </c>
    </row>
    <row r="18" spans="1:23">
      <c r="A18" s="34"/>
      <c r="B18" s="35" t="s">
        <v>24</v>
      </c>
      <c r="C18" s="36">
        <f>SUM(C11:C17)</f>
        <v>286</v>
      </c>
      <c r="D18" s="36">
        <f>SUM(D11:D17)</f>
        <v>72</v>
      </c>
      <c r="E18" s="272"/>
      <c r="F18" s="272">
        <f>SUM(F11:F17)</f>
        <v>149997.6</v>
      </c>
      <c r="G18" s="272">
        <f>SUM(G11:G17)</f>
        <v>1799.9712000000002</v>
      </c>
      <c r="H18" s="272"/>
      <c r="I18" s="272">
        <f>SUM(I11:I17)</f>
        <v>76280</v>
      </c>
      <c r="J18" s="272"/>
      <c r="K18" s="273"/>
      <c r="L18" s="272">
        <f>SUM(L11:L17)</f>
        <v>251800</v>
      </c>
      <c r="M18" s="272">
        <f>SUM(M11:M17)</f>
        <v>3021.6000000000004</v>
      </c>
      <c r="N18" s="272"/>
      <c r="O18" s="272"/>
      <c r="P18" s="272"/>
      <c r="Q18" s="272"/>
      <c r="R18" s="272">
        <f>SUM(R11:R17)</f>
        <v>4406.3999999999996</v>
      </c>
      <c r="S18" s="274">
        <f>(R18+M18+G18)</f>
        <v>9227.9712</v>
      </c>
      <c r="T18" s="272">
        <f>SUM(T9:T15)</f>
        <v>0</v>
      </c>
      <c r="U18" s="272">
        <f>SUM(U9:U15)</f>
        <v>0</v>
      </c>
      <c r="V18" s="272">
        <f>SUM(V9:V15)</f>
        <v>0</v>
      </c>
      <c r="W18" s="272">
        <f>SUM(W11:W17)</f>
        <v>9227.9712</v>
      </c>
    </row>
    <row r="19" spans="1:23">
      <c r="A19" s="119"/>
      <c r="B19" s="120"/>
      <c r="C19" s="121"/>
      <c r="D19" s="121"/>
      <c r="E19" s="121"/>
      <c r="F19" s="121"/>
      <c r="G19" s="124">
        <f>G18</f>
        <v>1799.9712000000002</v>
      </c>
      <c r="H19" s="121"/>
      <c r="I19" s="119"/>
      <c r="J19" s="55"/>
      <c r="K19" s="55"/>
      <c r="L19" s="55"/>
      <c r="M19" s="55"/>
      <c r="N19" s="55"/>
      <c r="O19" s="55"/>
      <c r="P19" s="55"/>
      <c r="Q19" s="55"/>
      <c r="R19" s="122">
        <f>(R18+M18)</f>
        <v>7428</v>
      </c>
      <c r="S19" s="55"/>
      <c r="T19" s="55"/>
      <c r="U19" s="55"/>
      <c r="V19" s="55"/>
      <c r="W19" s="55"/>
    </row>
    <row r="21" spans="1:23">
      <c r="B21" s="341" t="s">
        <v>134</v>
      </c>
      <c r="C21" s="342"/>
      <c r="D21" s="56" t="s">
        <v>135</v>
      </c>
      <c r="E21" s="1" t="s">
        <v>136</v>
      </c>
      <c r="F21" s="1" t="s">
        <v>137</v>
      </c>
      <c r="G21" s="1" t="s">
        <v>138</v>
      </c>
      <c r="H21" s="1" t="s">
        <v>139</v>
      </c>
    </row>
    <row r="22" spans="1:23" ht="35.25" customHeight="1">
      <c r="B22" s="354" t="s">
        <v>203</v>
      </c>
      <c r="C22" s="355"/>
      <c r="D22" s="267">
        <v>37</v>
      </c>
      <c r="E22" s="265">
        <v>145</v>
      </c>
      <c r="F22" s="265"/>
      <c r="G22" s="265">
        <v>104</v>
      </c>
      <c r="H22" s="34">
        <f t="shared" ref="H22" si="12">SUM(D22:G22)</f>
        <v>286</v>
      </c>
    </row>
    <row r="23" spans="1:23">
      <c r="B23" s="59" t="s">
        <v>24</v>
      </c>
      <c r="C23" s="56"/>
      <c r="D23" s="60">
        <f>SUM(D22:D22)</f>
        <v>37</v>
      </c>
      <c r="E23" s="60">
        <f>SUM(E22:E22)</f>
        <v>145</v>
      </c>
      <c r="F23" s="60">
        <f>SUM(F22:F22)</f>
        <v>0</v>
      </c>
      <c r="G23" s="60">
        <f>SUM(G22:G22)</f>
        <v>104</v>
      </c>
      <c r="H23" s="60">
        <f>SUM(H22:H22)</f>
        <v>286</v>
      </c>
    </row>
  </sheetData>
  <mergeCells count="17">
    <mergeCell ref="U8:U9"/>
    <mergeCell ref="V8:V9"/>
    <mergeCell ref="B21:C21"/>
    <mergeCell ref="B22:C22"/>
    <mergeCell ref="W8:W9"/>
    <mergeCell ref="B1:F1"/>
    <mergeCell ref="Q2:S2"/>
    <mergeCell ref="A5:W5"/>
    <mergeCell ref="A6:W6"/>
    <mergeCell ref="A8:A9"/>
    <mergeCell ref="B8:B9"/>
    <mergeCell ref="C8:C9"/>
    <mergeCell ref="D8:G8"/>
    <mergeCell ref="H8:M8"/>
    <mergeCell ref="N8:R8"/>
    <mergeCell ref="S8:S9"/>
    <mergeCell ref="T8:T9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9:H29"/>
  <sheetViews>
    <sheetView topLeftCell="A16" workbookViewId="0">
      <selection activeCell="G36" sqref="G36"/>
    </sheetView>
  </sheetViews>
  <sheetFormatPr defaultRowHeight="14.25"/>
  <cols>
    <col min="1" max="1" width="4.85546875" style="260" customWidth="1"/>
    <col min="2" max="2" width="40.42578125" style="255" customWidth="1"/>
    <col min="3" max="3" width="14.7109375" style="255" bestFit="1" customWidth="1"/>
    <col min="4" max="4" width="10.85546875" style="255" bestFit="1" customWidth="1"/>
    <col min="5" max="5" width="9.85546875" style="255" bestFit="1" customWidth="1"/>
    <col min="6" max="6" width="8.7109375" style="255" bestFit="1" customWidth="1"/>
    <col min="7" max="7" width="12.140625" style="255" bestFit="1" customWidth="1"/>
    <col min="8" max="8" width="11" style="255" bestFit="1" customWidth="1"/>
    <col min="9" max="16384" width="9.140625" style="255"/>
  </cols>
  <sheetData>
    <row r="9" spans="1:8" ht="57.75" customHeight="1">
      <c r="A9" s="252"/>
      <c r="B9" s="253" t="s">
        <v>134</v>
      </c>
      <c r="C9" s="254" t="s">
        <v>160</v>
      </c>
      <c r="D9" s="253" t="s">
        <v>135</v>
      </c>
      <c r="E9" s="253" t="s">
        <v>136</v>
      </c>
      <c r="F9" s="253" t="s">
        <v>137</v>
      </c>
      <c r="G9" s="253" t="s">
        <v>138</v>
      </c>
      <c r="H9" s="253" t="s">
        <v>24</v>
      </c>
    </row>
    <row r="10" spans="1:8" ht="42.75">
      <c r="A10" s="252">
        <v>1</v>
      </c>
      <c r="B10" s="256" t="s">
        <v>207</v>
      </c>
      <c r="C10" s="253">
        <f>+'BDX&amp;kargadrich'!E44</f>
        <v>5</v>
      </c>
      <c r="D10" s="253">
        <f>+'BDX&amp;kargadrich'!F44</f>
        <v>0</v>
      </c>
      <c r="E10" s="253">
        <f>+'BDX&amp;kargadrich'!G44</f>
        <v>156</v>
      </c>
      <c r="F10" s="253">
        <f>+'BDX&amp;kargadrich'!H44</f>
        <v>0</v>
      </c>
      <c r="G10" s="253">
        <f>+'BDX&amp;kargadrich'!I44</f>
        <v>31</v>
      </c>
      <c r="H10" s="253">
        <f>SUM(C10:G10)</f>
        <v>192</v>
      </c>
    </row>
    <row r="11" spans="1:8">
      <c r="A11" s="252">
        <v>3</v>
      </c>
      <c r="B11" s="257" t="str">
        <f>+Vchr!B35</f>
        <v>Վճռաբեկ դատարան</v>
      </c>
      <c r="C11" s="253"/>
      <c r="D11" s="253">
        <f>+Vchr!D35</f>
        <v>28</v>
      </c>
      <c r="E11" s="253">
        <f>+Vchr!E35</f>
        <v>105</v>
      </c>
      <c r="F11" s="253">
        <f>+Vchr!F35</f>
        <v>0</v>
      </c>
      <c r="G11" s="253">
        <f>+Vchr!G35</f>
        <v>18</v>
      </c>
      <c r="H11" s="253">
        <f t="shared" ref="H11:H25" si="0">SUM(C11:G11)</f>
        <v>151</v>
      </c>
    </row>
    <row r="12" spans="1:8">
      <c r="A12" s="252">
        <v>4</v>
      </c>
      <c r="B12" s="257" t="str">
        <f>+Ver.Qax!B24</f>
        <v>Վերաքննիչ քաղաքացիական դատարան</v>
      </c>
      <c r="C12" s="253"/>
      <c r="D12" s="253">
        <f>+Ver.Qax!D24</f>
        <v>19</v>
      </c>
      <c r="E12" s="253">
        <f>+Ver.Qax!E24</f>
        <v>61</v>
      </c>
      <c r="F12" s="253">
        <f>+Ver.Qax!F24</f>
        <v>0</v>
      </c>
      <c r="G12" s="253">
        <f>+Ver.Qax!G24</f>
        <v>28</v>
      </c>
      <c r="H12" s="253">
        <f t="shared" si="0"/>
        <v>108</v>
      </c>
    </row>
    <row r="13" spans="1:8">
      <c r="A13" s="252">
        <v>5</v>
      </c>
      <c r="B13" s="257" t="str">
        <f>+Ver.qr.!C24</f>
        <v>Վերաքննիչ քրեական դատարան</v>
      </c>
      <c r="C13" s="253"/>
      <c r="D13" s="253">
        <f>+Ver.qr.!E24</f>
        <v>21</v>
      </c>
      <c r="E13" s="253">
        <f>+Ver.qr.!F24</f>
        <v>66</v>
      </c>
      <c r="F13" s="253">
        <f>+Ver.qr.!G24</f>
        <v>0</v>
      </c>
      <c r="G13" s="253">
        <f>+Ver.qr.!H24</f>
        <v>21</v>
      </c>
      <c r="H13" s="253">
        <f t="shared" si="0"/>
        <v>108</v>
      </c>
    </row>
    <row r="14" spans="1:8">
      <c r="A14" s="252">
        <v>6</v>
      </c>
      <c r="B14" s="257" t="str">
        <f>+Ver.varch!A27</f>
        <v>Վերաքննիչ վարչական դատարան</v>
      </c>
      <c r="C14" s="253"/>
      <c r="D14" s="253">
        <f>+Ver.varch!D29</f>
        <v>29</v>
      </c>
      <c r="E14" s="253">
        <f>+Ver.varch!E29</f>
        <v>109</v>
      </c>
      <c r="F14" s="253">
        <f>+Ver.varch!F29</f>
        <v>0</v>
      </c>
      <c r="G14" s="253">
        <f>+Ver.varch!G29</f>
        <v>34</v>
      </c>
      <c r="H14" s="253">
        <f t="shared" si="0"/>
        <v>172</v>
      </c>
    </row>
    <row r="15" spans="1:8">
      <c r="A15" s="252">
        <v>7</v>
      </c>
      <c r="B15" s="257" t="str">
        <f>+Varch.!B23</f>
        <v>Վարչական դատարան</v>
      </c>
      <c r="C15" s="253"/>
      <c r="D15" s="253">
        <f>+Varch.!D23</f>
        <v>24</v>
      </c>
      <c r="E15" s="253">
        <f>+Varch.!E23</f>
        <v>95</v>
      </c>
      <c r="F15" s="253">
        <f>+Varch.!F23</f>
        <v>0</v>
      </c>
      <c r="G15" s="253">
        <f>+Varch.!G23</f>
        <v>0</v>
      </c>
      <c r="H15" s="253">
        <f t="shared" si="0"/>
        <v>119</v>
      </c>
    </row>
    <row r="16" spans="1:8" ht="42.75">
      <c r="A16" s="252">
        <v>9</v>
      </c>
      <c r="B16" s="256" t="str">
        <f>+Arag!C3</f>
        <v>ՀՀ Արագածոտնի մարզի առաջին ատյանի ընդհանուր իրավասության դատարան</v>
      </c>
      <c r="C16" s="253"/>
      <c r="D16" s="253">
        <f>+Arag!C25</f>
        <v>8</v>
      </c>
      <c r="E16" s="253">
        <f>+Arag!D25</f>
        <v>34</v>
      </c>
      <c r="F16" s="253">
        <f>+Arag!E25</f>
        <v>0</v>
      </c>
      <c r="G16" s="253">
        <f>+Arag!F25</f>
        <v>32</v>
      </c>
      <c r="H16" s="253">
        <f t="shared" si="0"/>
        <v>74</v>
      </c>
    </row>
    <row r="17" spans="1:8" ht="42.75">
      <c r="A17" s="252">
        <v>10</v>
      </c>
      <c r="B17" s="256" t="str">
        <f>+Ararat!C3</f>
        <v>ՀՀ Արարատի և Վայոց Ձորի մարզերի առաջին ատյանի ընդհանուր իրավասության դատարան</v>
      </c>
      <c r="C17" s="253"/>
      <c r="D17" s="258">
        <f>+Ararat!D28</f>
        <v>14</v>
      </c>
      <c r="E17" s="258">
        <f>+Ararat!E28</f>
        <v>56</v>
      </c>
      <c r="F17" s="258">
        <f>+Ararat!F28</f>
        <v>0</v>
      </c>
      <c r="G17" s="258">
        <f>+Ararat!G28</f>
        <v>53</v>
      </c>
      <c r="H17" s="253">
        <f t="shared" si="0"/>
        <v>123</v>
      </c>
    </row>
    <row r="18" spans="1:8" ht="28.5">
      <c r="A18" s="252">
        <v>11</v>
      </c>
      <c r="B18" s="256" t="str">
        <f>+Armav.!C3</f>
        <v>ՀՀ Արմավիրի մարզի առաջին ատյանի ընդհանուր իրավասության դատարան</v>
      </c>
      <c r="C18" s="253"/>
      <c r="D18" s="253">
        <f>+Armav.!D26</f>
        <v>11</v>
      </c>
      <c r="E18" s="253">
        <f>+Armav.!E26</f>
        <v>43</v>
      </c>
      <c r="F18" s="253">
        <f>+Armav.!F26</f>
        <v>0</v>
      </c>
      <c r="G18" s="253">
        <f>+Armav.!G26</f>
        <v>32</v>
      </c>
      <c r="H18" s="253">
        <f t="shared" si="0"/>
        <v>86</v>
      </c>
    </row>
    <row r="19" spans="1:8" ht="42.75">
      <c r="A19" s="252">
        <v>12</v>
      </c>
      <c r="B19" s="256" t="str">
        <f>+Gex.!C3</f>
        <v>ՀՀ Գեղարքունիքի մարզի առաջին ատյանի ընդհանուր իրավասության դատարան</v>
      </c>
      <c r="C19" s="253"/>
      <c r="D19" s="253">
        <f>+Gex.!D27</f>
        <v>10</v>
      </c>
      <c r="E19" s="253">
        <f>+Gex.!E27</f>
        <v>42</v>
      </c>
      <c r="F19" s="253">
        <f>+Gex.!F27</f>
        <v>0</v>
      </c>
      <c r="G19" s="253">
        <f>+Gex.!G27</f>
        <v>53</v>
      </c>
      <c r="H19" s="253">
        <f t="shared" si="0"/>
        <v>105</v>
      </c>
    </row>
    <row r="20" spans="1:8" ht="28.5">
      <c r="A20" s="252">
        <v>13</v>
      </c>
      <c r="B20" s="256" t="str">
        <f>+Lori!C3</f>
        <v>ՀՀ Լոռու մարզի առաջին ատյանի ընդհանուր իրավասության դատարան</v>
      </c>
      <c r="C20" s="253"/>
      <c r="D20" s="258">
        <f>+Lori!C28</f>
        <v>14</v>
      </c>
      <c r="E20" s="258">
        <f>+Lori!D28</f>
        <v>55</v>
      </c>
      <c r="F20" s="258">
        <f>+Lori!E28</f>
        <v>0</v>
      </c>
      <c r="G20" s="258">
        <f>+Lori!F28</f>
        <v>55</v>
      </c>
      <c r="H20" s="253">
        <f t="shared" si="0"/>
        <v>124</v>
      </c>
    </row>
    <row r="21" spans="1:8" ht="28.5">
      <c r="A21" s="252">
        <v>14</v>
      </c>
      <c r="B21" s="256" t="str">
        <f>+Kot!C3</f>
        <v>ՀՀ Կոտայքի մարզի առաջին ատյանի ընդհանուր իրավասության դատարան</v>
      </c>
      <c r="C21" s="253"/>
      <c r="D21" s="253">
        <f>+Kot!C26</f>
        <v>13</v>
      </c>
      <c r="E21" s="253">
        <f>+Kot!D26</f>
        <v>52</v>
      </c>
      <c r="F21" s="253">
        <f>+Kot!E26</f>
        <v>0</v>
      </c>
      <c r="G21" s="253">
        <f>+Kot!F26</f>
        <v>58</v>
      </c>
      <c r="H21" s="253">
        <f t="shared" si="0"/>
        <v>123</v>
      </c>
    </row>
    <row r="22" spans="1:8" ht="28.5">
      <c r="A22" s="252">
        <v>15</v>
      </c>
      <c r="B22" s="256" t="str">
        <f>+Shir.!C3</f>
        <v xml:space="preserve">ՀՀ Շիրակի մարզի առաջին ատյանի ընդհանուր իրավասության դատարան </v>
      </c>
      <c r="C22" s="253"/>
      <c r="D22" s="253">
        <f>+Shir.!D25</f>
        <v>14</v>
      </c>
      <c r="E22" s="253">
        <f>+Shir.!E25</f>
        <v>52</v>
      </c>
      <c r="F22" s="253">
        <f>+Shir.!F25</f>
        <v>0</v>
      </c>
      <c r="G22" s="253">
        <f>+Shir.!G25</f>
        <v>34</v>
      </c>
      <c r="H22" s="253">
        <f t="shared" si="0"/>
        <v>100</v>
      </c>
    </row>
    <row r="23" spans="1:8" ht="28.5">
      <c r="A23" s="252">
        <v>16</v>
      </c>
      <c r="B23" s="256" t="str">
        <f>+Syun.!C3</f>
        <v>ՀՀ Սյունիքի մարզի առաջին ատյանի ընդհանուր իրավասության դատարան</v>
      </c>
      <c r="C23" s="253"/>
      <c r="D23" s="253">
        <f>+Syun.!D25</f>
        <v>11</v>
      </c>
      <c r="E23" s="253">
        <f>+Syun.!E25</f>
        <v>42</v>
      </c>
      <c r="F23" s="253">
        <f>+Syun.!F25</f>
        <v>0</v>
      </c>
      <c r="G23" s="253">
        <f>+Syun.!G25</f>
        <v>33</v>
      </c>
      <c r="H23" s="253">
        <f t="shared" si="0"/>
        <v>86</v>
      </c>
    </row>
    <row r="24" spans="1:8" ht="28.5">
      <c r="A24" s="252">
        <v>17</v>
      </c>
      <c r="B24" s="256" t="str">
        <f>+Tav.!C3:C3</f>
        <v>ՀՀ Տավուշի մարզի առաջին ատյանի ընդհանուր իրավասության դատարան</v>
      </c>
      <c r="C24" s="253"/>
      <c r="D24" s="253">
        <f>+Tav.!D25</f>
        <v>7</v>
      </c>
      <c r="E24" s="253">
        <f>+Tav.!E25</f>
        <v>33</v>
      </c>
      <c r="F24" s="253">
        <f>+Tav.!F25</f>
        <v>0</v>
      </c>
      <c r="G24" s="253">
        <f>+Tav.!G25</f>
        <v>54</v>
      </c>
      <c r="H24" s="253">
        <f t="shared" si="0"/>
        <v>94</v>
      </c>
    </row>
    <row r="25" spans="1:8">
      <c r="A25" s="252">
        <v>18</v>
      </c>
      <c r="B25" s="257" t="str">
        <f>+Snank!C3</f>
        <v>ՀՀ Սնանկության դատարան</v>
      </c>
      <c r="C25" s="253"/>
      <c r="D25" s="253">
        <f>+Snank!D24</f>
        <v>15</v>
      </c>
      <c r="E25" s="253">
        <f>+Snank!E24</f>
        <v>54</v>
      </c>
      <c r="F25" s="253">
        <f>+Snank!F24</f>
        <v>0</v>
      </c>
      <c r="G25" s="253">
        <f>+Snank!G24</f>
        <v>24</v>
      </c>
      <c r="H25" s="253">
        <f t="shared" si="0"/>
        <v>93</v>
      </c>
    </row>
    <row r="26" spans="1:8">
      <c r="A26" s="252">
        <v>19</v>
      </c>
      <c r="B26" s="257" t="str">
        <f>+Ver.hakakorupcion!C3</f>
        <v>ՀՀ վերաքննիչ հակակոռուպցիոն դատարան</v>
      </c>
      <c r="C26" s="253"/>
      <c r="D26" s="258">
        <f>+Ver.hakakorupcion!D25</f>
        <v>12</v>
      </c>
      <c r="E26" s="258">
        <f>+Ver.hakakorupcion!E25</f>
        <v>40</v>
      </c>
      <c r="F26" s="258">
        <f>+Ver.hakakorupcion!F25</f>
        <v>0</v>
      </c>
      <c r="G26" s="258">
        <f>+Ver.hakakorupcion!G25</f>
        <v>22</v>
      </c>
      <c r="H26" s="253">
        <f>SUM(C26:G26)</f>
        <v>74</v>
      </c>
    </row>
    <row r="27" spans="1:8" ht="42.75">
      <c r="A27" s="252">
        <v>20</v>
      </c>
      <c r="B27" s="256" t="str">
        <f>+'Yerevan qax'!C3</f>
        <v xml:space="preserve">Երևան քաղաքի առաջին ատյանի ընդհանուր իրավասության քաղաքացիական դատարան </v>
      </c>
      <c r="C27" s="253"/>
      <c r="D27" s="258">
        <f>+'Yerevan qax'!D25</f>
        <v>40</v>
      </c>
      <c r="E27" s="258">
        <f>+'Yerevan qax'!E25</f>
        <v>164</v>
      </c>
      <c r="F27" s="258">
        <f>+'Yerevan qax'!F25</f>
        <v>0</v>
      </c>
      <c r="G27" s="258">
        <f>+'Yerevan qax'!G25</f>
        <v>67</v>
      </c>
      <c r="H27" s="253">
        <f>SUM(C27:G27)</f>
        <v>271</v>
      </c>
    </row>
    <row r="28" spans="1:8" ht="42.75">
      <c r="A28" s="252">
        <v>21</v>
      </c>
      <c r="B28" s="256" t="str">
        <f>+'Yerevan qr'!C3</f>
        <v xml:space="preserve">Երևան քաղաքի առաջին ատյանի ընդհանուր իրավասության քրեական դատարան </v>
      </c>
      <c r="C28" s="253"/>
      <c r="D28" s="258">
        <f>+'Yerevan qr'!D23</f>
        <v>37</v>
      </c>
      <c r="E28" s="258">
        <f>+'Yerevan qr'!E23</f>
        <v>145</v>
      </c>
      <c r="F28" s="258">
        <f>+'Yerevan qr'!F23</f>
        <v>0</v>
      </c>
      <c r="G28" s="258">
        <f>+'Yerevan qr'!G23</f>
        <v>104</v>
      </c>
      <c r="H28" s="253">
        <f>SUM(C28:G28)</f>
        <v>286</v>
      </c>
    </row>
    <row r="29" spans="1:8">
      <c r="A29" s="252"/>
      <c r="B29" s="259" t="s">
        <v>24</v>
      </c>
      <c r="C29" s="258">
        <f t="shared" ref="C29:H29" si="1">SUM(C10:C28)</f>
        <v>5</v>
      </c>
      <c r="D29" s="258">
        <f t="shared" si="1"/>
        <v>327</v>
      </c>
      <c r="E29" s="258">
        <f t="shared" si="1"/>
        <v>1404</v>
      </c>
      <c r="F29" s="258">
        <f t="shared" si="1"/>
        <v>0</v>
      </c>
      <c r="G29" s="258">
        <f t="shared" si="1"/>
        <v>753</v>
      </c>
      <c r="H29" s="258">
        <f t="shared" si="1"/>
        <v>2489</v>
      </c>
    </row>
  </sheetData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</sheetPr>
  <dimension ref="A1:AD29"/>
  <sheetViews>
    <sheetView zoomScaleNormal="100" workbookViewId="0">
      <selection activeCell="F23" sqref="F23"/>
    </sheetView>
  </sheetViews>
  <sheetFormatPr defaultColWidth="9.140625" defaultRowHeight="16.5"/>
  <cols>
    <col min="1" max="1" width="5.7109375" style="69" customWidth="1"/>
    <col min="2" max="2" width="32" style="69" customWidth="1"/>
    <col min="3" max="3" width="14.7109375" style="69" customWidth="1"/>
    <col min="4" max="5" width="11" style="69" customWidth="1"/>
    <col min="6" max="8" width="11.140625" style="69" customWidth="1"/>
    <col min="9" max="12" width="12.140625" style="69" customWidth="1"/>
    <col min="13" max="15" width="11.7109375" style="69" customWidth="1"/>
    <col min="16" max="21" width="11.85546875" style="69" customWidth="1"/>
    <col min="22" max="24" width="7.28515625" style="69" customWidth="1"/>
    <col min="25" max="27" width="12.140625" style="69" customWidth="1"/>
    <col min="28" max="28" width="1.7109375" style="69" customWidth="1"/>
    <col min="29" max="16384" width="9.140625" style="69"/>
  </cols>
  <sheetData>
    <row r="1" spans="1:30" s="7" customFormat="1" ht="17.25">
      <c r="A1" s="4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5"/>
      <c r="N1" s="5"/>
      <c r="O1" s="5"/>
      <c r="P1" s="64" t="s">
        <v>25</v>
      </c>
      <c r="Q1" s="64"/>
      <c r="R1" s="64"/>
      <c r="S1" s="64"/>
      <c r="T1" s="64"/>
      <c r="U1" s="64"/>
      <c r="V1" s="6"/>
      <c r="W1" s="6"/>
      <c r="X1" s="6"/>
      <c r="Y1" s="64"/>
      <c r="Z1" s="64"/>
      <c r="AA1" s="64"/>
      <c r="AB1" s="64"/>
    </row>
    <row r="2" spans="1:30" s="7" customFormat="1" ht="31.5" customHeight="1">
      <c r="A2" s="4"/>
      <c r="B2" s="61"/>
      <c r="C2" s="8"/>
      <c r="D2" s="8"/>
      <c r="E2" s="8"/>
      <c r="F2" s="8"/>
      <c r="G2" s="8"/>
      <c r="H2" s="8"/>
      <c r="I2" s="8"/>
      <c r="J2" s="8"/>
      <c r="K2" s="8"/>
      <c r="L2" s="8"/>
      <c r="M2" s="68" t="s">
        <v>21</v>
      </c>
      <c r="N2" s="64"/>
      <c r="O2" s="64"/>
      <c r="P2" s="64"/>
      <c r="Q2" s="64"/>
      <c r="R2" s="64"/>
      <c r="S2" s="64"/>
      <c r="T2" s="64"/>
      <c r="U2" s="64"/>
      <c r="V2" s="6"/>
      <c r="W2" s="6"/>
      <c r="X2" s="6"/>
      <c r="Y2" s="64"/>
      <c r="Z2" s="64"/>
      <c r="AA2" s="64"/>
      <c r="AB2" s="64"/>
    </row>
    <row r="3" spans="1:30" s="7" customFormat="1" ht="18" thickBot="1">
      <c r="B3" s="9" t="s">
        <v>65</v>
      </c>
      <c r="C3" s="10" t="s">
        <v>112</v>
      </c>
      <c r="D3" s="10"/>
      <c r="E3" s="10"/>
      <c r="F3" s="45"/>
      <c r="G3" s="45"/>
      <c r="H3" s="45"/>
      <c r="I3" s="45"/>
      <c r="J3" s="45"/>
      <c r="K3" s="45"/>
      <c r="L3" s="45"/>
      <c r="M3" s="45"/>
      <c r="N3" s="45"/>
      <c r="O3" s="45"/>
      <c r="P3" s="12"/>
      <c r="Q3" s="13"/>
      <c r="R3" s="13"/>
      <c r="S3" s="13"/>
      <c r="T3" s="13"/>
      <c r="U3" s="13"/>
      <c r="V3" s="6"/>
      <c r="W3" s="6"/>
      <c r="X3" s="6"/>
      <c r="Y3" s="5"/>
      <c r="Z3" s="5"/>
      <c r="AA3" s="5"/>
      <c r="AB3" s="5"/>
    </row>
    <row r="4" spans="1:30" s="7" customFormat="1" ht="13.5">
      <c r="V4" s="6"/>
      <c r="W4" s="6"/>
      <c r="X4" s="6"/>
    </row>
    <row r="5" spans="1:30" s="14" customFormat="1">
      <c r="A5" s="315" t="s">
        <v>53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62"/>
      <c r="R5" s="62"/>
      <c r="S5" s="62"/>
      <c r="T5" s="62"/>
      <c r="U5" s="62"/>
      <c r="V5" s="6"/>
      <c r="W5" s="6"/>
      <c r="X5" s="6"/>
      <c r="Y5" s="62"/>
      <c r="Z5" s="62"/>
      <c r="AA5" s="62"/>
      <c r="AB5" s="62"/>
    </row>
    <row r="6" spans="1:30" s="14" customFormat="1" ht="15" customHeight="1">
      <c r="A6" s="337" t="s">
        <v>169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</row>
    <row r="7" spans="1:30" s="14" customFormat="1" ht="17.25" thickBo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</row>
    <row r="8" spans="1:30" ht="52.5" customHeight="1" thickBot="1">
      <c r="A8" s="143" t="s">
        <v>31</v>
      </c>
      <c r="B8" s="144" t="s">
        <v>166</v>
      </c>
      <c r="C8" s="357" t="s">
        <v>23</v>
      </c>
      <c r="D8" s="358"/>
      <c r="E8" s="359"/>
      <c r="F8" s="357" t="s">
        <v>26</v>
      </c>
      <c r="G8" s="358"/>
      <c r="H8" s="359"/>
      <c r="I8" s="357" t="s">
        <v>27</v>
      </c>
      <c r="J8" s="358"/>
      <c r="K8" s="359"/>
      <c r="L8" s="145"/>
      <c r="M8" s="357" t="s">
        <v>29</v>
      </c>
      <c r="N8" s="358"/>
      <c r="O8" s="359"/>
      <c r="P8" s="357" t="s">
        <v>30</v>
      </c>
      <c r="Q8" s="358"/>
      <c r="R8" s="359"/>
      <c r="S8" s="357" t="s">
        <v>116</v>
      </c>
      <c r="T8" s="358"/>
      <c r="U8" s="358"/>
      <c r="V8" s="351" t="s">
        <v>28</v>
      </c>
      <c r="W8" s="351"/>
      <c r="X8" s="351"/>
      <c r="Y8" s="360" t="s">
        <v>24</v>
      </c>
      <c r="Z8" s="361"/>
      <c r="AA8" s="362"/>
    </row>
    <row r="9" spans="1:30" ht="52.5" customHeight="1" thickBot="1">
      <c r="A9" s="146"/>
      <c r="B9" s="147"/>
      <c r="C9" s="148">
        <v>2020</v>
      </c>
      <c r="D9" s="148" t="s">
        <v>167</v>
      </c>
      <c r="E9" s="148" t="s">
        <v>168</v>
      </c>
      <c r="F9" s="148">
        <v>2020</v>
      </c>
      <c r="G9" s="148" t="s">
        <v>167</v>
      </c>
      <c r="H9" s="148" t="s">
        <v>168</v>
      </c>
      <c r="I9" s="148">
        <v>2020</v>
      </c>
      <c r="J9" s="148" t="s">
        <v>167</v>
      </c>
      <c r="K9" s="148" t="s">
        <v>168</v>
      </c>
      <c r="L9" s="148"/>
      <c r="M9" s="148">
        <v>2020</v>
      </c>
      <c r="N9" s="148" t="s">
        <v>167</v>
      </c>
      <c r="O9" s="148" t="s">
        <v>168</v>
      </c>
      <c r="P9" s="148">
        <v>2020</v>
      </c>
      <c r="Q9" s="148" t="s">
        <v>167</v>
      </c>
      <c r="R9" s="148" t="s">
        <v>168</v>
      </c>
      <c r="S9" s="148">
        <v>2020</v>
      </c>
      <c r="T9" s="148" t="s">
        <v>167</v>
      </c>
      <c r="U9" s="148" t="s">
        <v>168</v>
      </c>
      <c r="V9" s="148">
        <v>2020</v>
      </c>
      <c r="W9" s="148" t="s">
        <v>167</v>
      </c>
      <c r="X9" s="148" t="s">
        <v>168</v>
      </c>
      <c r="Y9" s="148">
        <v>2020</v>
      </c>
      <c r="Z9" s="148" t="s">
        <v>167</v>
      </c>
      <c r="AA9" s="148" t="s">
        <v>168</v>
      </c>
    </row>
    <row r="10" spans="1:30" s="7" customFormat="1" ht="17.25" thickBot="1">
      <c r="A10" s="15">
        <v>1</v>
      </c>
      <c r="B10" s="3">
        <f>A10+1</f>
        <v>2</v>
      </c>
      <c r="C10" s="3">
        <f>B10+1</f>
        <v>3</v>
      </c>
      <c r="D10" s="3"/>
      <c r="E10" s="3"/>
      <c r="F10" s="3">
        <f>C10+1</f>
        <v>4</v>
      </c>
      <c r="G10" s="3"/>
      <c r="H10" s="3"/>
      <c r="I10" s="3">
        <f>F10+1</f>
        <v>5</v>
      </c>
      <c r="J10" s="3"/>
      <c r="K10" s="3"/>
      <c r="L10" s="3"/>
      <c r="M10" s="3">
        <f>I10+1</f>
        <v>6</v>
      </c>
      <c r="N10" s="3"/>
      <c r="O10" s="3"/>
      <c r="P10" s="3">
        <f>M10+1</f>
        <v>7</v>
      </c>
      <c r="Q10" s="16"/>
      <c r="R10" s="16"/>
      <c r="S10" s="16">
        <v>8</v>
      </c>
      <c r="T10" s="16"/>
      <c r="U10" s="16"/>
      <c r="V10" s="47">
        <v>10</v>
      </c>
      <c r="W10" s="47"/>
      <c r="X10" s="47"/>
      <c r="Y10" s="47">
        <v>9</v>
      </c>
      <c r="Z10" s="47"/>
      <c r="AA10" s="47"/>
      <c r="AB10" s="69"/>
    </row>
    <row r="11" spans="1:30" s="7" customFormat="1" ht="40.5" customHeight="1" thickBot="1">
      <c r="A11" s="17"/>
      <c r="B11" s="18" t="s">
        <v>51</v>
      </c>
      <c r="C11" s="149" t="e">
        <f t="shared" ref="C11:AA11" si="0">SUM(C13:C29)</f>
        <v>#REF!</v>
      </c>
      <c r="D11" s="149">
        <f t="shared" si="0"/>
        <v>422861.75999999995</v>
      </c>
      <c r="E11" s="149">
        <f t="shared" si="0"/>
        <v>345693.49999999994</v>
      </c>
      <c r="F11" s="149" t="e">
        <f t="shared" si="0"/>
        <v>#REF!</v>
      </c>
      <c r="G11" s="149">
        <f t="shared" si="0"/>
        <v>27172.800000000003</v>
      </c>
      <c r="H11" s="149">
        <f t="shared" si="0"/>
        <v>0</v>
      </c>
      <c r="I11" s="149" t="e">
        <f t="shared" si="0"/>
        <v>#REF!</v>
      </c>
      <c r="J11" s="149">
        <f t="shared" si="0"/>
        <v>71614.2</v>
      </c>
      <c r="K11" s="149">
        <f t="shared" si="0"/>
        <v>32279.899999999998</v>
      </c>
      <c r="L11" s="149"/>
      <c r="M11" s="149" t="e">
        <f t="shared" si="0"/>
        <v>#REF!</v>
      </c>
      <c r="N11" s="149">
        <f t="shared" si="0"/>
        <v>27903.100000000002</v>
      </c>
      <c r="O11" s="149">
        <f t="shared" si="0"/>
        <v>12750</v>
      </c>
      <c r="P11" s="149" t="e">
        <f t="shared" si="0"/>
        <v>#REF!</v>
      </c>
      <c r="Q11" s="149">
        <f t="shared" si="0"/>
        <v>1020</v>
      </c>
      <c r="R11" s="149">
        <f t="shared" si="0"/>
        <v>935</v>
      </c>
      <c r="S11" s="149">
        <f t="shared" si="0"/>
        <v>300</v>
      </c>
      <c r="T11" s="149">
        <f t="shared" si="0"/>
        <v>300</v>
      </c>
      <c r="U11" s="150">
        <f t="shared" si="0"/>
        <v>300</v>
      </c>
      <c r="V11" s="150">
        <f t="shared" si="0"/>
        <v>650</v>
      </c>
      <c r="W11" s="150">
        <f t="shared" si="0"/>
        <v>650</v>
      </c>
      <c r="X11" s="150">
        <f t="shared" si="0"/>
        <v>650</v>
      </c>
      <c r="Y11" s="151" t="e">
        <f t="shared" si="0"/>
        <v>#REF!</v>
      </c>
      <c r="Z11" s="151">
        <f t="shared" si="0"/>
        <v>551521.86</v>
      </c>
      <c r="AA11" s="151">
        <f t="shared" si="0"/>
        <v>392608.39999999997</v>
      </c>
      <c r="AB11" s="69"/>
    </row>
    <row r="12" spans="1:30" s="7" customFormat="1" ht="16.5" customHeight="1">
      <c r="A12" s="19"/>
      <c r="B12" s="20" t="s">
        <v>50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9"/>
      <c r="R12" s="49"/>
      <c r="S12" s="49"/>
      <c r="T12" s="49"/>
      <c r="U12" s="49"/>
      <c r="V12" s="40"/>
      <c r="W12" s="40"/>
      <c r="X12" s="40"/>
      <c r="Y12" s="50"/>
      <c r="Z12" s="50"/>
      <c r="AA12" s="50"/>
      <c r="AB12" s="69"/>
    </row>
    <row r="13" spans="1:30" s="73" customFormat="1">
      <c r="A13" s="21">
        <v>1</v>
      </c>
      <c r="B13" s="70" t="s">
        <v>32</v>
      </c>
      <c r="C13" s="52">
        <f>'5. դատ.դեպ-փոստային'!G13</f>
        <v>9000</v>
      </c>
      <c r="D13" s="52">
        <v>0</v>
      </c>
      <c r="E13" s="52">
        <v>0</v>
      </c>
      <c r="F13" s="52">
        <f>'BDX&amp;kargadrich'!E32</f>
        <v>2750.4</v>
      </c>
      <c r="G13" s="52">
        <v>2750.4</v>
      </c>
      <c r="H13" s="52"/>
      <c r="I13" s="52">
        <f>'BDX&amp;kargadrich'!E33</f>
        <v>9889.2000000000007</v>
      </c>
      <c r="J13" s="52">
        <v>9982.2000000000007</v>
      </c>
      <c r="K13" s="52">
        <v>7555.7999999999993</v>
      </c>
      <c r="L13" s="52">
        <f>+I13+F13-K13</f>
        <v>5083.8000000000011</v>
      </c>
      <c r="M13" s="52">
        <f>'2.Internet'!C12</f>
        <v>10395</v>
      </c>
      <c r="N13" s="52">
        <v>2000.1</v>
      </c>
      <c r="O13" s="52">
        <v>12750</v>
      </c>
      <c r="P13" s="52" t="e">
        <f>#REF!</f>
        <v>#REF!</v>
      </c>
      <c r="Q13" s="152">
        <v>1020</v>
      </c>
      <c r="R13" s="152">
        <v>935</v>
      </c>
      <c r="S13" s="152">
        <v>300</v>
      </c>
      <c r="T13" s="152">
        <v>300</v>
      </c>
      <c r="U13" s="152">
        <v>300</v>
      </c>
      <c r="V13" s="153">
        <v>325</v>
      </c>
      <c r="W13" s="153">
        <v>325</v>
      </c>
      <c r="X13" s="154">
        <v>325</v>
      </c>
      <c r="Y13" s="52" t="e">
        <f>C13+F13+I13+M13+P13+S13+V13</f>
        <v>#REF!</v>
      </c>
      <c r="Z13" s="52">
        <f>D13+G13+J13+N13+Q13+T13+W13</f>
        <v>16377.7</v>
      </c>
      <c r="AA13" s="52">
        <f>E13+H13+K13+O13+R13+U13+X13</f>
        <v>21865.8</v>
      </c>
      <c r="AB13" s="72"/>
    </row>
    <row r="14" spans="1:30" s="73" customFormat="1">
      <c r="A14" s="21">
        <v>2</v>
      </c>
      <c r="B14" s="70" t="s">
        <v>33</v>
      </c>
      <c r="C14" s="52">
        <f>'5. դատ.դեպ-փոստային'!G14</f>
        <v>20003.2</v>
      </c>
      <c r="D14" s="52">
        <v>6960</v>
      </c>
      <c r="E14" s="52">
        <v>4509.3</v>
      </c>
      <c r="F14" s="52">
        <f>+Vchr!E29</f>
        <v>2750.4</v>
      </c>
      <c r="G14" s="52">
        <v>691.2</v>
      </c>
      <c r="H14" s="52"/>
      <c r="I14" s="52">
        <f>+Vchr!E30</f>
        <v>7569.7943999999998</v>
      </c>
      <c r="J14" s="52">
        <v>4698.6000000000004</v>
      </c>
      <c r="K14" s="52">
        <v>403.1</v>
      </c>
      <c r="L14" s="52">
        <f t="shared" ref="L14:L29" si="1">+I14+F14-K14</f>
        <v>9917.0944</v>
      </c>
      <c r="M14" s="52">
        <f>'2.Internet'!C14</f>
        <v>0</v>
      </c>
      <c r="N14" s="52">
        <v>2403</v>
      </c>
      <c r="O14" s="52"/>
      <c r="P14" s="52"/>
      <c r="Q14" s="152"/>
      <c r="R14" s="152"/>
      <c r="S14" s="152"/>
      <c r="T14" s="152"/>
      <c r="U14" s="152"/>
      <c r="V14" s="153">
        <v>325</v>
      </c>
      <c r="W14" s="153">
        <v>325</v>
      </c>
      <c r="X14" s="154">
        <v>325</v>
      </c>
      <c r="Y14" s="52">
        <f t="shared" ref="Y14:Y29" si="2">C14+F14+I14+M14+P14+S14+V14</f>
        <v>30648.394400000001</v>
      </c>
      <c r="Z14" s="52">
        <f t="shared" ref="Z14:Z29" si="3">D14+G14+J14+N14+Q14+T14+W14</f>
        <v>15077.8</v>
      </c>
      <c r="AA14" s="52">
        <f t="shared" ref="AA14:AA29" si="4">E14+H14+K14+O14+R14+U14+X14</f>
        <v>5237.4000000000005</v>
      </c>
      <c r="AB14" s="72"/>
    </row>
    <row r="15" spans="1:30" s="73" customFormat="1" ht="27">
      <c r="A15" s="21">
        <v>3</v>
      </c>
      <c r="B15" s="70" t="s">
        <v>34</v>
      </c>
      <c r="C15" s="52">
        <f>'5. դատ.դեպ-փոստային'!G15</f>
        <v>40688.576000000001</v>
      </c>
      <c r="D15" s="52">
        <v>11280</v>
      </c>
      <c r="E15" s="52">
        <v>10217.9</v>
      </c>
      <c r="F15" s="52">
        <f>Ver.Qax!G20</f>
        <v>974.98440000000005</v>
      </c>
      <c r="G15" s="52">
        <v>1728</v>
      </c>
      <c r="H15" s="52"/>
      <c r="I15" s="52">
        <f>Ver.Qax!R20</f>
        <v>4224</v>
      </c>
      <c r="J15" s="52">
        <v>3844.2</v>
      </c>
      <c r="K15" s="52">
        <v>1237.2</v>
      </c>
      <c r="L15" s="52">
        <f>+I15+F15-K15</f>
        <v>3961.7844000000005</v>
      </c>
      <c r="M15" s="52">
        <f>'2.Internet'!C15</f>
        <v>0</v>
      </c>
      <c r="N15" s="52">
        <v>1661.5</v>
      </c>
      <c r="O15" s="52"/>
      <c r="P15" s="52"/>
      <c r="Q15" s="152"/>
      <c r="R15" s="152"/>
      <c r="S15" s="152"/>
      <c r="T15" s="152"/>
      <c r="U15" s="152"/>
      <c r="V15" s="153"/>
      <c r="W15" s="154"/>
      <c r="X15" s="154"/>
      <c r="Y15" s="52">
        <f t="shared" si="2"/>
        <v>45887.560400000002</v>
      </c>
      <c r="Z15" s="52">
        <f t="shared" si="3"/>
        <v>18513.7</v>
      </c>
      <c r="AA15" s="52">
        <f t="shared" si="4"/>
        <v>11455.1</v>
      </c>
      <c r="AB15" s="72"/>
    </row>
    <row r="16" spans="1:30">
      <c r="A16" s="21">
        <v>4</v>
      </c>
      <c r="B16" s="70" t="s">
        <v>35</v>
      </c>
      <c r="C16" s="52">
        <f>'5. դատ.դեպ-փոստային'!G16</f>
        <v>51211.839999999997</v>
      </c>
      <c r="D16" s="52">
        <v>9028.7999999999993</v>
      </c>
      <c r="E16" s="52">
        <v>6003.5</v>
      </c>
      <c r="F16" s="52">
        <f>Ver.qr.!G19/1000</f>
        <v>0.82498680000000002</v>
      </c>
      <c r="G16" s="52">
        <v>1555.2</v>
      </c>
      <c r="H16" s="52"/>
      <c r="I16" s="52">
        <f>(Ver.qr.!M19+Ver.qr.!R19)/1000</f>
        <v>4.8756000000000004</v>
      </c>
      <c r="J16" s="52">
        <v>3840</v>
      </c>
      <c r="K16" s="52">
        <v>1362.7</v>
      </c>
      <c r="L16" s="52">
        <f t="shared" si="1"/>
        <v>-1356.9994131999999</v>
      </c>
      <c r="M16" s="52">
        <f>'2.Internet'!C16</f>
        <v>0</v>
      </c>
      <c r="N16" s="52">
        <v>1661.5</v>
      </c>
      <c r="O16" s="52"/>
      <c r="P16" s="52"/>
      <c r="Q16" s="152"/>
      <c r="R16" s="152"/>
      <c r="S16" s="152"/>
      <c r="T16" s="152"/>
      <c r="U16" s="152"/>
      <c r="V16" s="153"/>
      <c r="W16" s="154"/>
      <c r="X16" s="154"/>
      <c r="Y16" s="52">
        <f t="shared" si="2"/>
        <v>51217.540586799994</v>
      </c>
      <c r="Z16" s="52">
        <f t="shared" si="3"/>
        <v>16085.5</v>
      </c>
      <c r="AA16" s="52">
        <f t="shared" si="4"/>
        <v>7366.2</v>
      </c>
      <c r="AB16" s="74"/>
      <c r="AD16" s="73"/>
    </row>
    <row r="17" spans="1:28" s="73" customFormat="1">
      <c r="A17" s="21">
        <v>5</v>
      </c>
      <c r="B17" s="70" t="s">
        <v>36</v>
      </c>
      <c r="C17" s="52">
        <f>'5. դատ.դեպ-փոստային'!G17</f>
        <v>33154.239999999998</v>
      </c>
      <c r="D17" s="52">
        <v>6720</v>
      </c>
      <c r="E17" s="52">
        <v>9596.2999999999993</v>
      </c>
      <c r="F17" s="52">
        <f>Ver.varch!G20</f>
        <v>1099.9824000000001</v>
      </c>
      <c r="G17" s="52">
        <v>806.4</v>
      </c>
      <c r="H17" s="52"/>
      <c r="I17" s="52">
        <f>Ver.varch!R20</f>
        <v>7288.8</v>
      </c>
      <c r="J17" s="52">
        <v>2073.6</v>
      </c>
      <c r="K17" s="52">
        <v>720.6</v>
      </c>
      <c r="L17" s="52">
        <f t="shared" si="1"/>
        <v>7668.1823999999997</v>
      </c>
      <c r="M17" s="52">
        <f>'2.Internet'!C17</f>
        <v>0</v>
      </c>
      <c r="N17" s="52">
        <v>1500</v>
      </c>
      <c r="O17" s="52"/>
      <c r="P17" s="52"/>
      <c r="Q17" s="152"/>
      <c r="R17" s="152"/>
      <c r="S17" s="152"/>
      <c r="T17" s="152"/>
      <c r="U17" s="152"/>
      <c r="V17" s="153"/>
      <c r="W17" s="154"/>
      <c r="X17" s="154"/>
      <c r="Y17" s="52">
        <f t="shared" si="2"/>
        <v>41543.022400000002</v>
      </c>
      <c r="Z17" s="52">
        <f t="shared" si="3"/>
        <v>11100</v>
      </c>
      <c r="AA17" s="52">
        <f t="shared" si="4"/>
        <v>10316.9</v>
      </c>
      <c r="AB17" s="72"/>
    </row>
    <row r="18" spans="1:28" s="73" customFormat="1">
      <c r="A18" s="21">
        <v>6</v>
      </c>
      <c r="B18" s="70" t="s">
        <v>37</v>
      </c>
      <c r="C18" s="52">
        <f>'5. դատ.դեպ-փոստային'!G18</f>
        <v>249280</v>
      </c>
      <c r="D18" s="52">
        <v>33660</v>
      </c>
      <c r="E18" s="52">
        <v>31359.699999999997</v>
      </c>
      <c r="F18" s="52">
        <f>Varch.!G20</f>
        <v>849.9864</v>
      </c>
      <c r="G18" s="52">
        <v>2304</v>
      </c>
      <c r="H18" s="52"/>
      <c r="I18" s="52">
        <f>Varch.!R20</f>
        <v>5756.4000000000005</v>
      </c>
      <c r="J18" s="52">
        <v>6331.2</v>
      </c>
      <c r="K18" s="52">
        <v>1163.9000000000001</v>
      </c>
      <c r="L18" s="52">
        <f t="shared" si="1"/>
        <v>5442.4863999999998</v>
      </c>
      <c r="M18" s="52">
        <f>'2.Internet'!C18</f>
        <v>0</v>
      </c>
      <c r="N18" s="52">
        <v>2041.4</v>
      </c>
      <c r="O18" s="52"/>
      <c r="P18" s="52"/>
      <c r="Q18" s="152"/>
      <c r="R18" s="152"/>
      <c r="S18" s="152"/>
      <c r="T18" s="152"/>
      <c r="U18" s="152"/>
      <c r="V18" s="153"/>
      <c r="W18" s="154"/>
      <c r="X18" s="154"/>
      <c r="Y18" s="52">
        <f t="shared" si="2"/>
        <v>255886.38639999999</v>
      </c>
      <c r="Z18" s="52">
        <f t="shared" si="3"/>
        <v>44336.6</v>
      </c>
      <c r="AA18" s="52">
        <f t="shared" si="4"/>
        <v>32523.599999999999</v>
      </c>
      <c r="AB18" s="72"/>
    </row>
    <row r="19" spans="1:28" s="73" customFormat="1" ht="33" customHeight="1">
      <c r="A19" s="21">
        <v>7</v>
      </c>
      <c r="B19" s="70" t="s">
        <v>149</v>
      </c>
      <c r="C19" s="52">
        <f>+'5. դատ.դեպ-փոստային'!G31</f>
        <v>134453.12</v>
      </c>
      <c r="D19" s="52">
        <v>145140.15999999997</v>
      </c>
      <c r="E19" s="52">
        <v>118696.4</v>
      </c>
      <c r="F19" s="52">
        <f>+'Yerevan qax'!G19</f>
        <v>1699.9728000000007</v>
      </c>
      <c r="G19" s="52">
        <v>7315.2000000000007</v>
      </c>
      <c r="H19" s="52"/>
      <c r="I19" s="52">
        <f>+'Yerevan qax'!R19</f>
        <v>8545.2000000000007</v>
      </c>
      <c r="J19" s="52">
        <v>15982.800000000001</v>
      </c>
      <c r="K19" s="52">
        <v>8976.7999999999993</v>
      </c>
      <c r="L19" s="52">
        <f t="shared" si="1"/>
        <v>1268.3728000000028</v>
      </c>
      <c r="M19" s="52">
        <f>+'2.Internet'!C32</f>
        <v>0</v>
      </c>
      <c r="N19" s="52">
        <v>6883.5</v>
      </c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>
        <f t="shared" si="2"/>
        <v>144698.2928</v>
      </c>
      <c r="Z19" s="52">
        <f t="shared" si="3"/>
        <v>175321.65999999997</v>
      </c>
      <c r="AA19" s="52">
        <f t="shared" si="4"/>
        <v>127673.2</v>
      </c>
      <c r="AB19" s="72"/>
    </row>
    <row r="20" spans="1:28" s="73" customFormat="1" ht="27">
      <c r="A20" s="21">
        <v>8</v>
      </c>
      <c r="B20" s="70" t="s">
        <v>38</v>
      </c>
      <c r="C20" s="52" t="e">
        <f>'5. դատ.դեպ-փոստային'!#REF!</f>
        <v>#REF!</v>
      </c>
      <c r="D20" s="52">
        <v>0</v>
      </c>
      <c r="E20" s="52">
        <v>0</v>
      </c>
      <c r="F20" s="52" t="e">
        <f>#REF!</f>
        <v>#REF!</v>
      </c>
      <c r="G20" s="52">
        <v>230.4</v>
      </c>
      <c r="H20" s="52"/>
      <c r="I20" s="52" t="e">
        <f>#REF!</f>
        <v>#REF!</v>
      </c>
      <c r="J20" s="52">
        <v>974.4</v>
      </c>
      <c r="K20" s="52">
        <v>321.5</v>
      </c>
      <c r="L20" s="52" t="e">
        <f t="shared" si="1"/>
        <v>#REF!</v>
      </c>
      <c r="M20" s="52" t="e">
        <f>'2.Internet'!#REF!</f>
        <v>#REF!</v>
      </c>
      <c r="N20" s="52">
        <v>400</v>
      </c>
      <c r="O20" s="52"/>
      <c r="P20" s="52"/>
      <c r="Q20" s="152"/>
      <c r="R20" s="152"/>
      <c r="S20" s="152"/>
      <c r="T20" s="152"/>
      <c r="U20" s="152"/>
      <c r="V20" s="153"/>
      <c r="W20" s="154"/>
      <c r="X20" s="154"/>
      <c r="Y20" s="52" t="e">
        <f t="shared" si="2"/>
        <v>#REF!</v>
      </c>
      <c r="Z20" s="52">
        <f t="shared" si="3"/>
        <v>1604.8</v>
      </c>
      <c r="AA20" s="52">
        <f t="shared" si="4"/>
        <v>321.5</v>
      </c>
      <c r="AB20" s="72"/>
    </row>
    <row r="21" spans="1:28" s="73" customFormat="1" ht="27">
      <c r="A21" s="21">
        <v>9</v>
      </c>
      <c r="B21" s="70" t="s">
        <v>39</v>
      </c>
      <c r="C21" s="52">
        <f>'5. դատ.դեպ-փոստային'!G19</f>
        <v>40736</v>
      </c>
      <c r="D21" s="52">
        <v>13000</v>
      </c>
      <c r="E21" s="52">
        <v>11858.8</v>
      </c>
      <c r="F21" s="52">
        <f>Arag!G20</f>
        <v>299.99519999999995</v>
      </c>
      <c r="G21" s="52">
        <v>576</v>
      </c>
      <c r="H21" s="52"/>
      <c r="I21" s="52">
        <f>Arag!R20</f>
        <v>1863.6</v>
      </c>
      <c r="J21" s="52">
        <v>1561.2</v>
      </c>
      <c r="K21" s="52">
        <v>835.8</v>
      </c>
      <c r="L21" s="52">
        <f t="shared" si="1"/>
        <v>1327.7951999999998</v>
      </c>
      <c r="M21" s="52">
        <f>'2.Internet'!C19</f>
        <v>0</v>
      </c>
      <c r="N21" s="52">
        <v>712.1</v>
      </c>
      <c r="O21" s="52"/>
      <c r="P21" s="52"/>
      <c r="Q21" s="152"/>
      <c r="R21" s="152"/>
      <c r="S21" s="152"/>
      <c r="T21" s="152"/>
      <c r="U21" s="152"/>
      <c r="V21" s="153"/>
      <c r="W21" s="154"/>
      <c r="X21" s="154"/>
      <c r="Y21" s="52">
        <f t="shared" si="2"/>
        <v>42899.595199999996</v>
      </c>
      <c r="Z21" s="52">
        <f t="shared" si="3"/>
        <v>15849.300000000001</v>
      </c>
      <c r="AA21" s="52">
        <f t="shared" si="4"/>
        <v>12694.599999999999</v>
      </c>
      <c r="AB21" s="72"/>
    </row>
    <row r="22" spans="1:28" s="73" customFormat="1" ht="40.5">
      <c r="A22" s="21">
        <v>10</v>
      </c>
      <c r="B22" s="70" t="s">
        <v>40</v>
      </c>
      <c r="C22" s="52">
        <f>'5. դատ.դեպ-փոստային'!G20</f>
        <v>51683.6680000001</v>
      </c>
      <c r="D22" s="52">
        <v>36400</v>
      </c>
      <c r="E22" s="52">
        <v>26550.3</v>
      </c>
      <c r="F22" s="52">
        <f>Ararat!G21</f>
        <v>674.98919999999998</v>
      </c>
      <c r="G22" s="52">
        <v>1036.8</v>
      </c>
      <c r="H22" s="52"/>
      <c r="I22" s="52">
        <f>Ararat!R21</f>
        <v>3166.2</v>
      </c>
      <c r="J22" s="52">
        <v>2831.4</v>
      </c>
      <c r="K22" s="52">
        <v>911.8</v>
      </c>
      <c r="L22" s="52">
        <f t="shared" si="1"/>
        <v>2929.3891999999996</v>
      </c>
      <c r="M22" s="52">
        <f>'2.Internet'!C20</f>
        <v>0</v>
      </c>
      <c r="N22" s="52">
        <v>1186.8</v>
      </c>
      <c r="O22" s="52"/>
      <c r="P22" s="52"/>
      <c r="Q22" s="152"/>
      <c r="R22" s="152"/>
      <c r="S22" s="152"/>
      <c r="T22" s="152"/>
      <c r="U22" s="152"/>
      <c r="V22" s="153"/>
      <c r="W22" s="154"/>
      <c r="X22" s="154"/>
      <c r="Y22" s="52">
        <f t="shared" si="2"/>
        <v>55524.8572000001</v>
      </c>
      <c r="Z22" s="52">
        <f t="shared" si="3"/>
        <v>41455.000000000007</v>
      </c>
      <c r="AA22" s="52">
        <f t="shared" si="4"/>
        <v>27462.1</v>
      </c>
      <c r="AB22" s="72"/>
    </row>
    <row r="23" spans="1:28" s="73" customFormat="1" ht="27">
      <c r="A23" s="21">
        <v>11</v>
      </c>
      <c r="B23" s="70" t="s">
        <v>41</v>
      </c>
      <c r="C23" s="52">
        <f>'5. դատ.դեպ-փոստային'!G21</f>
        <v>73161.153000000006</v>
      </c>
      <c r="D23" s="52">
        <v>30600</v>
      </c>
      <c r="E23" s="52">
        <v>24598.5</v>
      </c>
      <c r="F23" s="52">
        <f>Armav.!G21</f>
        <v>524.99160000000006</v>
      </c>
      <c r="G23" s="52">
        <v>979.2</v>
      </c>
      <c r="H23" s="52"/>
      <c r="I23" s="52">
        <f>Armav.!R21</f>
        <v>3134.9999999999995</v>
      </c>
      <c r="J23" s="52">
        <v>2397</v>
      </c>
      <c r="K23" s="52">
        <v>1001.1</v>
      </c>
      <c r="L23" s="52">
        <f t="shared" si="1"/>
        <v>2658.8915999999995</v>
      </c>
      <c r="M23" s="52">
        <f>'2.Internet'!C21</f>
        <v>0</v>
      </c>
      <c r="N23" s="52">
        <v>902</v>
      </c>
      <c r="O23" s="52"/>
      <c r="P23" s="52"/>
      <c r="Q23" s="152"/>
      <c r="R23" s="152"/>
      <c r="S23" s="152"/>
      <c r="T23" s="152"/>
      <c r="U23" s="152"/>
      <c r="V23" s="153"/>
      <c r="W23" s="154"/>
      <c r="X23" s="154"/>
      <c r="Y23" s="52">
        <f t="shared" si="2"/>
        <v>76821.1446</v>
      </c>
      <c r="Z23" s="52">
        <f t="shared" si="3"/>
        <v>34878.199999999997</v>
      </c>
      <c r="AA23" s="52">
        <f t="shared" si="4"/>
        <v>25599.599999999999</v>
      </c>
      <c r="AB23" s="72"/>
    </row>
    <row r="24" spans="1:28" s="73" customFormat="1" ht="27">
      <c r="A24" s="21">
        <v>12</v>
      </c>
      <c r="B24" s="70" t="s">
        <v>42</v>
      </c>
      <c r="C24" s="52">
        <f>'5. դատ.դեպ-փոստային'!G22</f>
        <v>43592.877</v>
      </c>
      <c r="D24" s="52">
        <v>21600</v>
      </c>
      <c r="E24" s="52">
        <v>12819.6</v>
      </c>
      <c r="F24" s="52">
        <f>Gex.!G22</f>
        <v>549.99120000000005</v>
      </c>
      <c r="G24" s="52">
        <v>1209.5999999999999</v>
      </c>
      <c r="H24" s="52"/>
      <c r="I24" s="52">
        <f>Gex.!R22</f>
        <v>2506.8000000000002</v>
      </c>
      <c r="J24" s="52">
        <v>2352</v>
      </c>
      <c r="K24" s="52">
        <v>1346.5</v>
      </c>
      <c r="L24" s="52">
        <f t="shared" si="1"/>
        <v>1710.2912000000001</v>
      </c>
      <c r="M24" s="52">
        <f>'2.Internet'!C22</f>
        <v>0</v>
      </c>
      <c r="N24" s="52">
        <v>996.9</v>
      </c>
      <c r="O24" s="52"/>
      <c r="P24" s="52"/>
      <c r="Q24" s="152"/>
      <c r="R24" s="152"/>
      <c r="S24" s="152"/>
      <c r="T24" s="152"/>
      <c r="U24" s="152"/>
      <c r="V24" s="153"/>
      <c r="W24" s="154"/>
      <c r="X24" s="154"/>
      <c r="Y24" s="52">
        <f t="shared" si="2"/>
        <v>46649.6682</v>
      </c>
      <c r="Z24" s="52">
        <f t="shared" si="3"/>
        <v>26158.5</v>
      </c>
      <c r="AA24" s="52">
        <f t="shared" si="4"/>
        <v>14166.1</v>
      </c>
      <c r="AB24" s="72"/>
    </row>
    <row r="25" spans="1:28" s="73" customFormat="1" ht="27">
      <c r="A25" s="21">
        <v>13</v>
      </c>
      <c r="B25" s="70" t="s">
        <v>43</v>
      </c>
      <c r="C25" s="52">
        <f>'5. դատ.դեպ-փոստային'!G23</f>
        <v>60800</v>
      </c>
      <c r="D25" s="52">
        <v>26613.599999999999</v>
      </c>
      <c r="E25" s="52">
        <v>19149.599999999999</v>
      </c>
      <c r="F25" s="52">
        <f>Lori!G22</f>
        <v>599.99040000000002</v>
      </c>
      <c r="G25" s="52">
        <v>1382.4</v>
      </c>
      <c r="H25" s="52"/>
      <c r="I25" s="52">
        <f>Lori!R22</f>
        <v>3922.2</v>
      </c>
      <c r="J25" s="52">
        <v>3609</v>
      </c>
      <c r="K25" s="52">
        <v>2102.1999999999998</v>
      </c>
      <c r="L25" s="52">
        <f t="shared" si="1"/>
        <v>2419.9903999999997</v>
      </c>
      <c r="M25" s="52">
        <f>'2.Internet'!C23</f>
        <v>0</v>
      </c>
      <c r="N25" s="52">
        <v>1376.7</v>
      </c>
      <c r="O25" s="52"/>
      <c r="P25" s="52"/>
      <c r="Q25" s="152"/>
      <c r="R25" s="152"/>
      <c r="S25" s="152"/>
      <c r="T25" s="152"/>
      <c r="U25" s="152"/>
      <c r="V25" s="153"/>
      <c r="W25" s="154"/>
      <c r="X25" s="154"/>
      <c r="Y25" s="52">
        <f t="shared" si="2"/>
        <v>65322.190399999999</v>
      </c>
      <c r="Z25" s="52">
        <f t="shared" si="3"/>
        <v>32981.699999999997</v>
      </c>
      <c r="AA25" s="52">
        <f t="shared" si="4"/>
        <v>21251.8</v>
      </c>
      <c r="AB25" s="72"/>
    </row>
    <row r="26" spans="1:28" s="73" customFormat="1" ht="27">
      <c r="A26" s="21">
        <v>14</v>
      </c>
      <c r="B26" s="70" t="s">
        <v>44</v>
      </c>
      <c r="C26" s="52">
        <f>'5. դատ.դեպ-փոստային'!G24</f>
        <v>73385.600000000006</v>
      </c>
      <c r="D26" s="52">
        <v>26779.200000000001</v>
      </c>
      <c r="E26" s="52">
        <v>24795.599999999999</v>
      </c>
      <c r="F26" s="52">
        <f>Kot!G21</f>
        <v>624.9899999999999</v>
      </c>
      <c r="G26" s="52">
        <v>1094.4000000000001</v>
      </c>
      <c r="H26" s="52"/>
      <c r="I26" s="52">
        <f>Kot!R21</f>
        <v>3792.6000000000004</v>
      </c>
      <c r="J26" s="52">
        <v>3031.8</v>
      </c>
      <c r="K26" s="52">
        <v>879</v>
      </c>
      <c r="L26" s="52">
        <f t="shared" si="1"/>
        <v>3538.59</v>
      </c>
      <c r="M26" s="52">
        <f>'2.Internet'!C24</f>
        <v>0</v>
      </c>
      <c r="N26" s="52">
        <v>1091.9000000000001</v>
      </c>
      <c r="O26" s="52"/>
      <c r="P26" s="52"/>
      <c r="Q26" s="152"/>
      <c r="R26" s="152"/>
      <c r="S26" s="152"/>
      <c r="T26" s="152"/>
      <c r="U26" s="152"/>
      <c r="V26" s="153"/>
      <c r="W26" s="154"/>
      <c r="X26" s="154"/>
      <c r="Y26" s="52">
        <f t="shared" si="2"/>
        <v>77803.190000000017</v>
      </c>
      <c r="Z26" s="52">
        <f t="shared" si="3"/>
        <v>31997.300000000003</v>
      </c>
      <c r="AA26" s="52">
        <f t="shared" si="4"/>
        <v>25674.6</v>
      </c>
      <c r="AB26" s="72"/>
    </row>
    <row r="27" spans="1:28" s="73" customFormat="1" ht="27">
      <c r="A27" s="21">
        <v>15</v>
      </c>
      <c r="B27" s="70" t="s">
        <v>45</v>
      </c>
      <c r="C27" s="52">
        <f>'5. դատ.դեպ-փոստային'!G25</f>
        <v>72960</v>
      </c>
      <c r="D27" s="52">
        <v>27600</v>
      </c>
      <c r="E27" s="52">
        <v>23453.7</v>
      </c>
      <c r="F27" s="52">
        <f>Shir.!G21</f>
        <v>624.9899999999999</v>
      </c>
      <c r="G27" s="52">
        <v>1324.8</v>
      </c>
      <c r="H27" s="52"/>
      <c r="I27" s="52">
        <f>Shir.!R21</f>
        <v>3551.4</v>
      </c>
      <c r="J27" s="52">
        <v>3373.8</v>
      </c>
      <c r="K27" s="52">
        <v>1233</v>
      </c>
      <c r="L27" s="52">
        <f t="shared" si="1"/>
        <v>2943.3900000000003</v>
      </c>
      <c r="M27" s="52">
        <f>'2.Internet'!C25</f>
        <v>0</v>
      </c>
      <c r="N27" s="52">
        <v>1376.7</v>
      </c>
      <c r="O27" s="52"/>
      <c r="P27" s="52"/>
      <c r="Q27" s="152"/>
      <c r="R27" s="152"/>
      <c r="S27" s="152"/>
      <c r="T27" s="152"/>
      <c r="U27" s="152"/>
      <c r="V27" s="153"/>
      <c r="W27" s="154"/>
      <c r="X27" s="154"/>
      <c r="Y27" s="52">
        <f t="shared" si="2"/>
        <v>77136.39</v>
      </c>
      <c r="Z27" s="52">
        <f t="shared" si="3"/>
        <v>33675.299999999996</v>
      </c>
      <c r="AA27" s="52">
        <f t="shared" si="4"/>
        <v>24686.7</v>
      </c>
      <c r="AB27" s="72"/>
    </row>
    <row r="28" spans="1:28" s="73" customFormat="1" ht="27">
      <c r="A28" s="21">
        <v>16</v>
      </c>
      <c r="B28" s="70" t="s">
        <v>52</v>
      </c>
      <c r="C28" s="52">
        <f>'5. դատ.դեպ-փոստային'!G26</f>
        <v>24320</v>
      </c>
      <c r="D28" s="52">
        <v>15000</v>
      </c>
      <c r="E28" s="52">
        <v>12256.2</v>
      </c>
      <c r="F28" s="52">
        <f>Syun.!G21</f>
        <v>574.99080000000004</v>
      </c>
      <c r="G28" s="52">
        <v>1209.5999999999999</v>
      </c>
      <c r="H28" s="52"/>
      <c r="I28" s="52">
        <f>Syun.!R21</f>
        <v>3428.3999999999996</v>
      </c>
      <c r="J28" s="52">
        <v>2752.8</v>
      </c>
      <c r="K28" s="52">
        <v>1354.2</v>
      </c>
      <c r="L28" s="52">
        <f t="shared" si="1"/>
        <v>2649.1907999999994</v>
      </c>
      <c r="M28" s="52">
        <f>'2.Internet'!C26</f>
        <v>0</v>
      </c>
      <c r="N28" s="52">
        <v>996.9</v>
      </c>
      <c r="O28" s="52"/>
      <c r="P28" s="52"/>
      <c r="Q28" s="152"/>
      <c r="R28" s="152"/>
      <c r="S28" s="152"/>
      <c r="T28" s="152"/>
      <c r="U28" s="152"/>
      <c r="V28" s="153"/>
      <c r="W28" s="154"/>
      <c r="X28" s="154"/>
      <c r="Y28" s="52">
        <f t="shared" si="2"/>
        <v>28323.390800000001</v>
      </c>
      <c r="Z28" s="52">
        <f t="shared" si="3"/>
        <v>19959.300000000003</v>
      </c>
      <c r="AA28" s="52">
        <f t="shared" si="4"/>
        <v>13610.400000000001</v>
      </c>
      <c r="AB28" s="72"/>
    </row>
    <row r="29" spans="1:28" s="73" customFormat="1" ht="27.75" thickBot="1">
      <c r="A29" s="21">
        <v>17</v>
      </c>
      <c r="B29" s="75" t="s">
        <v>46</v>
      </c>
      <c r="C29" s="155">
        <f>'5. դատ.դեպ-փոստային'!G27</f>
        <v>24320</v>
      </c>
      <c r="D29" s="155">
        <v>12480</v>
      </c>
      <c r="E29" s="155">
        <v>9828.1</v>
      </c>
      <c r="F29" s="155">
        <f>Tav.!G21</f>
        <v>449.99279999999999</v>
      </c>
      <c r="G29" s="155">
        <v>979.2</v>
      </c>
      <c r="H29" s="155"/>
      <c r="I29" s="155">
        <f>Tav.!R21</f>
        <v>2199</v>
      </c>
      <c r="J29" s="155">
        <v>1978.2</v>
      </c>
      <c r="K29" s="155">
        <v>874.7</v>
      </c>
      <c r="L29" s="52">
        <f t="shared" si="1"/>
        <v>1774.2927999999999</v>
      </c>
      <c r="M29" s="155">
        <f>'2.Internet'!C27</f>
        <v>0</v>
      </c>
      <c r="N29" s="155">
        <v>712.1</v>
      </c>
      <c r="O29" s="155"/>
      <c r="P29" s="155"/>
      <c r="Q29" s="156"/>
      <c r="R29" s="156"/>
      <c r="S29" s="156"/>
      <c r="T29" s="156"/>
      <c r="U29" s="156"/>
      <c r="V29" s="157"/>
      <c r="W29" s="158"/>
      <c r="X29" s="158"/>
      <c r="Y29" s="52">
        <f t="shared" si="2"/>
        <v>26968.9928</v>
      </c>
      <c r="Z29" s="52">
        <f t="shared" si="3"/>
        <v>16149.500000000002</v>
      </c>
      <c r="AA29" s="52">
        <f t="shared" si="4"/>
        <v>10702.800000000001</v>
      </c>
      <c r="AB29" s="72"/>
    </row>
  </sheetData>
  <mergeCells count="10">
    <mergeCell ref="A5:P5"/>
    <mergeCell ref="P8:R8"/>
    <mergeCell ref="S8:U8"/>
    <mergeCell ref="Y8:AA8"/>
    <mergeCell ref="V8:X8"/>
    <mergeCell ref="C8:E8"/>
    <mergeCell ref="F8:H8"/>
    <mergeCell ref="I8:K8"/>
    <mergeCell ref="M8:O8"/>
    <mergeCell ref="A6:AA6"/>
  </mergeCells>
  <conditionalFormatting sqref="B8 Y8:Y9 B13:B29 C9:AA9">
    <cfRule type="cellIs" dxfId="2" priority="11" stopIfTrue="1" operator="equal">
      <formula>0</formula>
    </cfRule>
  </conditionalFormatting>
  <conditionalFormatting sqref="AB1:AB1048576">
    <cfRule type="cellIs" dxfId="1" priority="10" stopIfTrue="1" operator="lessThan">
      <formula>0</formula>
    </cfRule>
  </conditionalFormatting>
  <conditionalFormatting sqref="B19">
    <cfRule type="cellIs" dxfId="0" priority="1" stopIfTrue="1" operator="equal">
      <formula>0</formula>
    </cfRule>
  </conditionalFormatting>
  <pageMargins left="0.47244094488188981" right="0.15748031496062992" top="0.27559055118110237" bottom="0.23622047244094491" header="0.15748031496062992" footer="0.15748031496062992"/>
  <pageSetup paperSize="9" scale="67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2:D9"/>
  <sheetViews>
    <sheetView workbookViewId="0">
      <selection activeCell="C8" sqref="C8"/>
    </sheetView>
  </sheetViews>
  <sheetFormatPr defaultRowHeight="16.5"/>
  <cols>
    <col min="1" max="1" width="6.42578125" style="191" bestFit="1" customWidth="1"/>
    <col min="2" max="2" width="19" style="191" customWidth="1"/>
    <col min="3" max="3" width="18.28515625" style="191" customWidth="1"/>
    <col min="4" max="4" width="18.7109375" style="191" customWidth="1"/>
    <col min="5" max="16384" width="9.140625" style="191"/>
  </cols>
  <sheetData>
    <row r="2" spans="1:4">
      <c r="A2" s="327" t="s">
        <v>179</v>
      </c>
      <c r="B2" s="327"/>
      <c r="C2" s="327"/>
      <c r="D2" s="327"/>
    </row>
    <row r="5" spans="1:4">
      <c r="A5" s="193"/>
      <c r="B5" s="193" t="s">
        <v>177</v>
      </c>
      <c r="C5" s="193" t="s">
        <v>178</v>
      </c>
      <c r="D5" s="193" t="s">
        <v>24</v>
      </c>
    </row>
    <row r="6" spans="1:4">
      <c r="A6" s="193">
        <v>2017</v>
      </c>
      <c r="B6" s="194">
        <v>323843.5</v>
      </c>
      <c r="C6" s="194">
        <v>60471.9</v>
      </c>
      <c r="D6" s="194">
        <f>+B6+C6</f>
        <v>384315.4</v>
      </c>
    </row>
    <row r="7" spans="1:4">
      <c r="A7" s="193">
        <v>2018</v>
      </c>
      <c r="B7" s="194">
        <v>345693.5</v>
      </c>
      <c r="C7" s="194">
        <v>80500</v>
      </c>
      <c r="D7" s="194">
        <f t="shared" ref="D7:D8" si="0">+B7+C7</f>
        <v>426193.5</v>
      </c>
    </row>
    <row r="8" spans="1:4">
      <c r="A8" s="193">
        <v>2019</v>
      </c>
      <c r="B8" s="194">
        <v>388576.2</v>
      </c>
      <c r="C8" s="196"/>
      <c r="D8" s="194">
        <f t="shared" si="0"/>
        <v>388576.2</v>
      </c>
    </row>
    <row r="9" spans="1:4">
      <c r="B9" s="192"/>
      <c r="C9" s="192"/>
      <c r="D9" s="192"/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K32"/>
  <sheetViews>
    <sheetView zoomScaleNormal="100" workbookViewId="0">
      <selection activeCell="D20" sqref="D20"/>
    </sheetView>
  </sheetViews>
  <sheetFormatPr defaultColWidth="9.140625" defaultRowHeight="16.5"/>
  <cols>
    <col min="1" max="1" width="6.5703125" style="69" customWidth="1"/>
    <col min="2" max="2" width="34.85546875" style="69" customWidth="1"/>
    <col min="3" max="4" width="15.7109375" style="69" customWidth="1"/>
    <col min="5" max="5" width="21.85546875" style="69" customWidth="1"/>
    <col min="6" max="9" width="9.140625" style="69" hidden="1" customWidth="1"/>
    <col min="10" max="10" width="9.140625" style="69" customWidth="1"/>
    <col min="11" max="16384" width="9.140625" style="69"/>
  </cols>
  <sheetData>
    <row r="1" spans="1:11" s="7" customFormat="1" ht="17.25">
      <c r="A1" s="4"/>
      <c r="B1" s="41"/>
      <c r="C1" s="5"/>
      <c r="D1" s="162"/>
      <c r="E1" s="162"/>
    </row>
    <row r="2" spans="1:11" s="7" customFormat="1" ht="18" thickBot="1">
      <c r="B2" s="9" t="s">
        <v>65</v>
      </c>
      <c r="C2" s="10" t="s">
        <v>112</v>
      </c>
      <c r="D2" s="11"/>
      <c r="E2" s="11"/>
      <c r="F2" s="42"/>
      <c r="G2" s="13"/>
      <c r="H2" s="5"/>
      <c r="I2" s="5"/>
      <c r="J2" s="5"/>
      <c r="K2" s="5"/>
    </row>
    <row r="3" spans="1:11" s="7" customFormat="1" ht="13.5"/>
    <row r="4" spans="1:11" s="14" customFormat="1">
      <c r="A4" s="315" t="s">
        <v>22</v>
      </c>
      <c r="B4" s="315"/>
      <c r="C4" s="315"/>
      <c r="D4" s="315"/>
      <c r="E4" s="315"/>
    </row>
    <row r="5" spans="1:11" s="14" customFormat="1" ht="29.25" customHeight="1">
      <c r="A5" s="328" t="s">
        <v>219</v>
      </c>
      <c r="B5" s="328"/>
      <c r="C5" s="328"/>
      <c r="D5" s="328"/>
      <c r="E5" s="328"/>
      <c r="F5" s="43"/>
      <c r="G5" s="43"/>
      <c r="H5" s="43"/>
    </row>
    <row r="6" spans="1:11" s="7" customFormat="1" ht="13.5"/>
    <row r="7" spans="1:11" s="55" customFormat="1" ht="13.5"/>
    <row r="8" spans="1:11" s="160" customFormat="1" ht="93.75" customHeight="1" thickBot="1">
      <c r="A8" s="159" t="s">
        <v>31</v>
      </c>
      <c r="B8" s="37" t="s">
        <v>48</v>
      </c>
      <c r="C8" s="165">
        <v>2026</v>
      </c>
      <c r="D8" s="165">
        <v>2025</v>
      </c>
      <c r="E8" s="165" t="s">
        <v>113</v>
      </c>
    </row>
    <row r="9" spans="1:11" s="7" customFormat="1" ht="14.25" thickBot="1">
      <c r="A9" s="15">
        <v>1</v>
      </c>
      <c r="B9" s="3">
        <f>A9+1</f>
        <v>2</v>
      </c>
      <c r="C9" s="3">
        <f>B9+1</f>
        <v>3</v>
      </c>
      <c r="D9" s="3">
        <f>C9+1</f>
        <v>4</v>
      </c>
      <c r="E9" s="3">
        <f>D9+1</f>
        <v>5</v>
      </c>
    </row>
    <row r="10" spans="1:11" s="7" customFormat="1" ht="20.25">
      <c r="A10" s="1"/>
      <c r="B10" s="44" t="s">
        <v>51</v>
      </c>
      <c r="C10" s="161">
        <f>SUM(C12:C32)</f>
        <v>10395</v>
      </c>
      <c r="D10" s="161">
        <f>SUM(D12:D32)</f>
        <v>10395</v>
      </c>
      <c r="E10" s="161">
        <f>SUM(E12:E27)</f>
        <v>0</v>
      </c>
    </row>
    <row r="11" spans="1:11" s="7" customFormat="1" ht="13.5">
      <c r="A11" s="1"/>
      <c r="B11" s="38" t="s">
        <v>50</v>
      </c>
      <c r="C11" s="39"/>
      <c r="D11" s="40"/>
      <c r="E11" s="40"/>
    </row>
    <row r="12" spans="1:11" s="7" customFormat="1" ht="27">
      <c r="A12" s="1">
        <v>1</v>
      </c>
      <c r="B12" s="51" t="s">
        <v>157</v>
      </c>
      <c r="C12" s="71">
        <v>10395</v>
      </c>
      <c r="D12" s="71">
        <v>10395</v>
      </c>
      <c r="E12" s="71">
        <f>C12-D12</f>
        <v>0</v>
      </c>
      <c r="F12" s="7">
        <v>20</v>
      </c>
      <c r="G12" s="7">
        <v>89000</v>
      </c>
      <c r="I12" s="7">
        <f>+G12/1000</f>
        <v>89</v>
      </c>
    </row>
    <row r="13" spans="1:11" s="7" customFormat="1" ht="27">
      <c r="A13" s="1">
        <v>2</v>
      </c>
      <c r="B13" s="70" t="s">
        <v>38</v>
      </c>
      <c r="C13" s="71"/>
      <c r="D13" s="71"/>
      <c r="E13" s="71">
        <f t="shared" ref="E13" si="0">C13-D13</f>
        <v>0</v>
      </c>
      <c r="F13" s="7">
        <v>20</v>
      </c>
      <c r="G13" s="7">
        <v>89000</v>
      </c>
      <c r="I13" s="7">
        <f t="shared" ref="I13" si="1">+G13/1000</f>
        <v>89</v>
      </c>
    </row>
    <row r="14" spans="1:11" s="7" customFormat="1" ht="13.5">
      <c r="A14" s="1">
        <v>2</v>
      </c>
      <c r="B14" s="70" t="s">
        <v>33</v>
      </c>
      <c r="C14" s="71"/>
      <c r="D14" s="71"/>
      <c r="E14" s="71">
        <f t="shared" ref="E14:E27" si="2">C14-D14</f>
        <v>0</v>
      </c>
      <c r="F14" s="7">
        <v>20</v>
      </c>
      <c r="G14" s="7">
        <v>89000</v>
      </c>
      <c r="I14" s="7">
        <f t="shared" ref="I14:I18" si="3">+G14/1000</f>
        <v>89</v>
      </c>
    </row>
    <row r="15" spans="1:11" ht="27">
      <c r="A15" s="1">
        <v>3</v>
      </c>
      <c r="B15" s="70" t="s">
        <v>34</v>
      </c>
      <c r="C15" s="71"/>
      <c r="D15" s="71"/>
      <c r="E15" s="71">
        <f t="shared" si="2"/>
        <v>0</v>
      </c>
      <c r="F15" s="7">
        <v>20</v>
      </c>
      <c r="G15" s="7">
        <v>89000</v>
      </c>
      <c r="H15" s="7"/>
      <c r="I15" s="7">
        <f t="shared" si="3"/>
        <v>89</v>
      </c>
    </row>
    <row r="16" spans="1:11">
      <c r="A16" s="1">
        <v>4</v>
      </c>
      <c r="B16" s="70" t="s">
        <v>35</v>
      </c>
      <c r="C16" s="71"/>
      <c r="D16" s="71"/>
      <c r="E16" s="71">
        <f t="shared" si="2"/>
        <v>0</v>
      </c>
      <c r="F16" s="7">
        <v>20</v>
      </c>
      <c r="G16" s="7">
        <v>89000</v>
      </c>
      <c r="H16" s="7"/>
      <c r="I16" s="7">
        <f t="shared" si="3"/>
        <v>89</v>
      </c>
    </row>
    <row r="17" spans="1:9" ht="21" customHeight="1">
      <c r="A17" s="1">
        <v>5</v>
      </c>
      <c r="B17" s="70" t="s">
        <v>188</v>
      </c>
      <c r="C17" s="71"/>
      <c r="D17" s="71"/>
      <c r="E17" s="71">
        <f t="shared" si="2"/>
        <v>0</v>
      </c>
      <c r="F17" s="7">
        <v>20</v>
      </c>
      <c r="G17" s="7">
        <v>89000</v>
      </c>
      <c r="H17" s="7"/>
      <c r="I17" s="7">
        <f t="shared" si="3"/>
        <v>89</v>
      </c>
    </row>
    <row r="18" spans="1:9">
      <c r="A18" s="1">
        <v>6</v>
      </c>
      <c r="B18" s="70" t="s">
        <v>37</v>
      </c>
      <c r="C18" s="71"/>
      <c r="D18" s="71"/>
      <c r="E18" s="71">
        <f t="shared" si="2"/>
        <v>0</v>
      </c>
      <c r="F18" s="7">
        <v>20</v>
      </c>
      <c r="G18" s="7">
        <v>89000</v>
      </c>
      <c r="H18" s="7"/>
      <c r="I18" s="7">
        <f t="shared" si="3"/>
        <v>89</v>
      </c>
    </row>
    <row r="19" spans="1:9" ht="40.5">
      <c r="A19" s="1">
        <v>7</v>
      </c>
      <c r="B19" s="70" t="s">
        <v>193</v>
      </c>
      <c r="C19" s="71"/>
      <c r="D19" s="71"/>
      <c r="E19" s="71">
        <f t="shared" si="2"/>
        <v>0</v>
      </c>
      <c r="F19" s="7"/>
      <c r="G19" s="7">
        <f>302.4+129.6+129.6</f>
        <v>561.6</v>
      </c>
      <c r="H19" s="7">
        <v>472</v>
      </c>
      <c r="I19" s="69">
        <f>+G19+H19</f>
        <v>1033.5999999999999</v>
      </c>
    </row>
    <row r="20" spans="1:9" ht="40.5">
      <c r="A20" s="1">
        <v>8</v>
      </c>
      <c r="B20" s="70" t="s">
        <v>194</v>
      </c>
      <c r="C20" s="71"/>
      <c r="D20" s="71"/>
      <c r="E20" s="71">
        <f t="shared" si="2"/>
        <v>0</v>
      </c>
      <c r="F20" s="7"/>
      <c r="G20" s="7">
        <f>302.4+216+172.8+129.6+129.6+129.6</f>
        <v>1080</v>
      </c>
      <c r="H20" s="7">
        <v>472</v>
      </c>
      <c r="I20" s="69">
        <f t="shared" ref="I20:I27" si="4">+G20+H20</f>
        <v>1552</v>
      </c>
    </row>
    <row r="21" spans="1:9" ht="27">
      <c r="A21" s="1">
        <v>9</v>
      </c>
      <c r="B21" s="70" t="s">
        <v>195</v>
      </c>
      <c r="C21" s="71"/>
      <c r="D21" s="71"/>
      <c r="E21" s="71">
        <f t="shared" si="2"/>
        <v>0</v>
      </c>
      <c r="F21" s="7"/>
      <c r="G21" s="7">
        <f>302.4+216</f>
        <v>518.4</v>
      </c>
      <c r="H21" s="7">
        <v>472</v>
      </c>
      <c r="I21" s="69">
        <f t="shared" si="4"/>
        <v>990.4</v>
      </c>
    </row>
    <row r="22" spans="1:9" ht="40.5">
      <c r="A22" s="1">
        <v>10</v>
      </c>
      <c r="B22" s="70" t="s">
        <v>196</v>
      </c>
      <c r="C22" s="71"/>
      <c r="D22" s="71"/>
      <c r="E22" s="71">
        <f t="shared" si="2"/>
        <v>0</v>
      </c>
      <c r="F22" s="7"/>
      <c r="G22" s="7">
        <f>302.4+259.2+172.8+129.6+129.6</f>
        <v>993.59999999999991</v>
      </c>
      <c r="H22" s="7">
        <v>472</v>
      </c>
      <c r="I22" s="69">
        <f t="shared" si="4"/>
        <v>1465.6</v>
      </c>
    </row>
    <row r="23" spans="1:9" ht="27">
      <c r="A23" s="1">
        <v>11</v>
      </c>
      <c r="B23" s="70" t="s">
        <v>197</v>
      </c>
      <c r="C23" s="71"/>
      <c r="D23" s="71"/>
      <c r="E23" s="71">
        <f t="shared" si="2"/>
        <v>0</v>
      </c>
      <c r="F23" s="7"/>
      <c r="G23" s="7">
        <f>345.6+172.8+129.6+172.8+172.8</f>
        <v>993.60000000000014</v>
      </c>
      <c r="H23" s="7">
        <v>473</v>
      </c>
      <c r="I23" s="69">
        <f t="shared" si="4"/>
        <v>1466.6000000000001</v>
      </c>
    </row>
    <row r="24" spans="1:9" ht="27">
      <c r="A24" s="1">
        <v>12</v>
      </c>
      <c r="B24" s="70" t="s">
        <v>198</v>
      </c>
      <c r="C24" s="71"/>
      <c r="D24" s="71"/>
      <c r="E24" s="71">
        <f t="shared" si="2"/>
        <v>0</v>
      </c>
      <c r="F24" s="7"/>
      <c r="G24" s="7">
        <f>302.4+172.8+172.8+216</f>
        <v>864</v>
      </c>
      <c r="H24" s="7">
        <v>473</v>
      </c>
      <c r="I24" s="69">
        <f t="shared" si="4"/>
        <v>1337</v>
      </c>
    </row>
    <row r="25" spans="1:9" ht="27">
      <c r="A25" s="1">
        <v>13</v>
      </c>
      <c r="B25" s="70" t="s">
        <v>199</v>
      </c>
      <c r="C25" s="71"/>
      <c r="D25" s="71"/>
      <c r="E25" s="71">
        <f t="shared" si="2"/>
        <v>0</v>
      </c>
      <c r="F25" s="7"/>
      <c r="G25" s="7">
        <f>432+129.6+129.6</f>
        <v>691.2</v>
      </c>
      <c r="H25" s="7">
        <v>473</v>
      </c>
      <c r="I25" s="69">
        <f t="shared" si="4"/>
        <v>1164.2</v>
      </c>
    </row>
    <row r="26" spans="1:9" ht="28.5" customHeight="1">
      <c r="A26" s="1">
        <v>14</v>
      </c>
      <c r="B26" s="70" t="s">
        <v>200</v>
      </c>
      <c r="C26" s="71"/>
      <c r="D26" s="71"/>
      <c r="E26" s="71">
        <f t="shared" si="2"/>
        <v>0</v>
      </c>
      <c r="F26" s="7"/>
      <c r="G26" s="7">
        <f>302.4+216+172.8+172.8</f>
        <v>864</v>
      </c>
      <c r="H26" s="7">
        <v>473</v>
      </c>
      <c r="I26" s="69">
        <f t="shared" si="4"/>
        <v>1337</v>
      </c>
    </row>
    <row r="27" spans="1:9" ht="27">
      <c r="A27" s="1">
        <v>15</v>
      </c>
      <c r="B27" s="70" t="s">
        <v>201</v>
      </c>
      <c r="C27" s="71"/>
      <c r="D27" s="71"/>
      <c r="E27" s="71">
        <f t="shared" si="2"/>
        <v>0</v>
      </c>
      <c r="F27" s="7"/>
      <c r="G27" s="7">
        <f>345.6+216+129.6+129.4</f>
        <v>820.6</v>
      </c>
      <c r="H27" s="7">
        <v>473</v>
      </c>
      <c r="I27" s="69">
        <f t="shared" si="4"/>
        <v>1293.5999999999999</v>
      </c>
    </row>
    <row r="28" spans="1:9">
      <c r="A28" s="1">
        <v>16</v>
      </c>
      <c r="B28" s="70" t="s">
        <v>153</v>
      </c>
      <c r="C28" s="71"/>
      <c r="D28" s="71"/>
      <c r="E28" s="71">
        <f>C28-D28</f>
        <v>0</v>
      </c>
      <c r="F28" s="7"/>
      <c r="G28" s="7"/>
      <c r="H28" s="7"/>
    </row>
    <row r="29" spans="1:9">
      <c r="A29" s="1">
        <v>17</v>
      </c>
      <c r="B29" s="70" t="s">
        <v>191</v>
      </c>
      <c r="C29" s="262"/>
      <c r="D29" s="262"/>
      <c r="E29" s="71">
        <f>C29-D29</f>
        <v>0</v>
      </c>
      <c r="F29" s="7"/>
      <c r="G29" s="7"/>
      <c r="H29" s="7"/>
    </row>
    <row r="30" spans="1:9" ht="27">
      <c r="A30" s="1">
        <v>18</v>
      </c>
      <c r="B30" s="70" t="s">
        <v>192</v>
      </c>
      <c r="C30" s="71"/>
      <c r="D30" s="71"/>
      <c r="E30" s="71">
        <f t="shared" ref="E30" si="5">C30-D30</f>
        <v>0</v>
      </c>
      <c r="F30" s="7">
        <v>20</v>
      </c>
      <c r="G30" s="7">
        <v>89000</v>
      </c>
      <c r="H30" s="7"/>
      <c r="I30" s="7">
        <f t="shared" ref="I30" si="6">+G30/1000</f>
        <v>89</v>
      </c>
    </row>
    <row r="31" spans="1:9" ht="40.5">
      <c r="A31" s="1">
        <v>19</v>
      </c>
      <c r="B31" s="51" t="s">
        <v>202</v>
      </c>
      <c r="C31" s="71"/>
      <c r="D31" s="71"/>
      <c r="E31" s="71">
        <v>0</v>
      </c>
      <c r="F31" s="7">
        <v>15</v>
      </c>
      <c r="G31" s="7">
        <f>576000-72000</f>
        <v>504000</v>
      </c>
      <c r="H31" s="7"/>
      <c r="I31" s="7">
        <f>+G31/1000</f>
        <v>504</v>
      </c>
    </row>
    <row r="32" spans="1:9" ht="40.5">
      <c r="A32" s="1">
        <v>20</v>
      </c>
      <c r="B32" s="51" t="s">
        <v>203</v>
      </c>
      <c r="C32" s="71"/>
      <c r="D32" s="71"/>
      <c r="E32" s="71">
        <v>0</v>
      </c>
      <c r="F32" s="7">
        <v>15</v>
      </c>
      <c r="G32" s="7">
        <f>576000-72000</f>
        <v>504000</v>
      </c>
      <c r="H32" s="7"/>
      <c r="I32" s="7">
        <f>+G32/1000</f>
        <v>504</v>
      </c>
    </row>
  </sheetData>
  <mergeCells count="2">
    <mergeCell ref="A4:E4"/>
    <mergeCell ref="A5:E5"/>
  </mergeCells>
  <conditionalFormatting sqref="B14:B27 B32">
    <cfRule type="cellIs" dxfId="9" priority="8" stopIfTrue="1" operator="equal">
      <formula>0</formula>
    </cfRule>
  </conditionalFormatting>
  <conditionalFormatting sqref="B29">
    <cfRule type="cellIs" dxfId="8" priority="6" stopIfTrue="1" operator="equal">
      <formula>0</formula>
    </cfRule>
  </conditionalFormatting>
  <conditionalFormatting sqref="B12">
    <cfRule type="cellIs" dxfId="7" priority="5" stopIfTrue="1" operator="equal">
      <formula>0</formula>
    </cfRule>
  </conditionalFormatting>
  <conditionalFormatting sqref="B28">
    <cfRule type="cellIs" dxfId="6" priority="4" stopIfTrue="1" operator="equal">
      <formula>0</formula>
    </cfRule>
  </conditionalFormatting>
  <conditionalFormatting sqref="B31">
    <cfRule type="cellIs" dxfId="5" priority="3" stopIfTrue="1" operator="equal">
      <formula>0</formula>
    </cfRule>
  </conditionalFormatting>
  <conditionalFormatting sqref="B30">
    <cfRule type="cellIs" dxfId="4" priority="2" stopIfTrue="1" operator="equal">
      <formula>0</formula>
    </cfRule>
  </conditionalFormatting>
  <conditionalFormatting sqref="B13">
    <cfRule type="cellIs" dxfId="3" priority="1" stopIfTrue="1" operator="equal">
      <formula>0</formula>
    </cfRule>
  </conditionalFormatting>
  <pageMargins left="0.6692913385826772" right="0.35433070866141736" top="0.35433070866141736" bottom="0.27559055118110237" header="0.15748031496062992" footer="0.15748031496062992"/>
  <pageSetup paperSize="9" scale="7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P44"/>
  <sheetViews>
    <sheetView topLeftCell="A16" zoomScaleNormal="100" workbookViewId="0">
      <selection activeCell="I43" sqref="I43"/>
    </sheetView>
  </sheetViews>
  <sheetFormatPr defaultColWidth="9.140625" defaultRowHeight="13.5"/>
  <cols>
    <col min="1" max="1" width="3.85546875" style="55" customWidth="1"/>
    <col min="2" max="2" width="33.7109375" style="55" customWidth="1"/>
    <col min="3" max="3" width="9.28515625" style="55" customWidth="1"/>
    <col min="4" max="4" width="15.140625" style="55" bestFit="1" customWidth="1"/>
    <col min="5" max="5" width="11.7109375" style="55" customWidth="1"/>
    <col min="6" max="6" width="11.140625" style="55" customWidth="1"/>
    <col min="7" max="7" width="11.5703125" style="55" customWidth="1"/>
    <col min="8" max="8" width="11.140625" style="55" bestFit="1" customWidth="1"/>
    <col min="9" max="9" width="10.5703125" style="55" bestFit="1" customWidth="1"/>
    <col min="10" max="10" width="13.5703125" style="55" customWidth="1"/>
    <col min="11" max="11" width="10.42578125" style="55" customWidth="1"/>
    <col min="12" max="13" width="9.140625" style="55"/>
    <col min="14" max="14" width="10.42578125" style="55" customWidth="1"/>
    <col min="15" max="16384" width="9.140625" style="55"/>
  </cols>
  <sheetData>
    <row r="1" spans="1:16" s="7" customFormat="1" ht="23.25" customHeight="1">
      <c r="A1" s="4"/>
      <c r="B1" s="332"/>
      <c r="C1" s="333"/>
      <c r="D1" s="333"/>
      <c r="E1" s="333"/>
      <c r="F1" s="333"/>
      <c r="G1" s="22"/>
      <c r="H1" s="22"/>
      <c r="I1" s="5"/>
      <c r="J1" s="64" t="s">
        <v>47</v>
      </c>
      <c r="K1" s="22"/>
      <c r="L1" s="5"/>
      <c r="M1" s="5"/>
    </row>
    <row r="2" spans="1:16" s="7" customFormat="1" ht="15" customHeight="1">
      <c r="A2" s="4"/>
      <c r="B2" s="66"/>
      <c r="C2" s="67"/>
      <c r="D2" s="67"/>
      <c r="E2" s="67"/>
      <c r="F2" s="22"/>
      <c r="G2" s="22"/>
      <c r="H2" s="22"/>
      <c r="I2" s="314" t="s">
        <v>21</v>
      </c>
      <c r="J2" s="314"/>
      <c r="K2" s="314"/>
      <c r="L2" s="5"/>
      <c r="M2" s="5"/>
    </row>
    <row r="3" spans="1:16" s="7" customFormat="1" ht="35.25" thickBot="1">
      <c r="B3" s="9" t="s">
        <v>65</v>
      </c>
      <c r="C3" s="23" t="s">
        <v>155</v>
      </c>
      <c r="D3" s="11"/>
      <c r="E3" s="11"/>
      <c r="F3" s="11"/>
      <c r="G3" s="24"/>
      <c r="H3" s="24"/>
      <c r="I3" s="5"/>
      <c r="J3" s="5"/>
      <c r="K3" s="5"/>
      <c r="L3" s="5"/>
      <c r="M3" s="5"/>
    </row>
    <row r="4" spans="1:16" s="7" customFormat="1">
      <c r="A4" s="4"/>
      <c r="B4" s="22"/>
      <c r="C4" s="22"/>
      <c r="D4" s="25"/>
      <c r="E4" s="25"/>
      <c r="F4" s="22"/>
      <c r="G4" s="22"/>
      <c r="H4" s="22"/>
      <c r="I4" s="26"/>
      <c r="J4" s="5"/>
      <c r="K4" s="5"/>
      <c r="L4" s="5"/>
    </row>
    <row r="5" spans="1:16" s="14" customFormat="1" ht="12.75">
      <c r="A5" s="6"/>
      <c r="B5" s="27" t="s">
        <v>22</v>
      </c>
      <c r="C5" s="27"/>
      <c r="D5" s="27"/>
      <c r="E5" s="27"/>
      <c r="F5" s="27"/>
      <c r="G5" s="27"/>
      <c r="H5" s="27"/>
      <c r="I5" s="28"/>
      <c r="J5" s="28"/>
      <c r="K5" s="28"/>
      <c r="L5" s="28"/>
    </row>
    <row r="6" spans="1:16" s="14" customFormat="1" ht="15" customHeight="1">
      <c r="A6" s="337" t="s">
        <v>212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28"/>
      <c r="M6" s="28"/>
      <c r="N6" s="28"/>
      <c r="O6" s="6"/>
      <c r="P6" s="6"/>
    </row>
    <row r="7" spans="1:16" s="14" customFormat="1" ht="12.75">
      <c r="A7" s="6"/>
      <c r="B7" s="29"/>
      <c r="C7" s="29"/>
      <c r="D7" s="29"/>
      <c r="E7" s="29"/>
      <c r="F7" s="29"/>
      <c r="G7" s="29"/>
      <c r="H7" s="29"/>
      <c r="I7" s="6"/>
      <c r="J7" s="6"/>
      <c r="K7" s="6"/>
      <c r="L7" s="6"/>
    </row>
    <row r="8" spans="1:16" s="7" customFormat="1">
      <c r="A8" s="5"/>
      <c r="B8" s="30"/>
      <c r="C8" s="25"/>
      <c r="D8" s="25"/>
      <c r="E8" s="25"/>
      <c r="F8" s="25"/>
      <c r="G8" s="25"/>
      <c r="H8" s="25"/>
      <c r="I8" s="5"/>
    </row>
    <row r="9" spans="1:16" ht="12.75" customHeight="1">
      <c r="A9" s="334" t="s">
        <v>0</v>
      </c>
      <c r="B9" s="335" t="s">
        <v>94</v>
      </c>
      <c r="C9" s="335" t="s">
        <v>55</v>
      </c>
      <c r="D9" s="338" t="s">
        <v>97</v>
      </c>
      <c r="E9" s="339"/>
      <c r="F9" s="338" t="s">
        <v>98</v>
      </c>
      <c r="G9" s="340"/>
      <c r="H9" s="339"/>
      <c r="I9" s="77"/>
      <c r="J9" s="77"/>
      <c r="K9" s="335" t="s">
        <v>99</v>
      </c>
    </row>
    <row r="10" spans="1:16" ht="57.75" customHeight="1">
      <c r="A10" s="334"/>
      <c r="B10" s="336"/>
      <c r="C10" s="336"/>
      <c r="D10" s="77" t="s">
        <v>61</v>
      </c>
      <c r="E10" s="77" t="s">
        <v>62</v>
      </c>
      <c r="F10" s="77" t="s">
        <v>63</v>
      </c>
      <c r="G10" s="77" t="s">
        <v>64</v>
      </c>
      <c r="H10" s="77" t="s">
        <v>100</v>
      </c>
      <c r="I10" s="78" t="s">
        <v>1</v>
      </c>
      <c r="J10" s="77" t="s">
        <v>218</v>
      </c>
      <c r="K10" s="336"/>
    </row>
    <row r="11" spans="1:16">
      <c r="A11" s="79" t="s">
        <v>2</v>
      </c>
      <c r="B11" s="79" t="s">
        <v>3</v>
      </c>
      <c r="C11" s="79" t="s">
        <v>4</v>
      </c>
      <c r="D11" s="79" t="s">
        <v>5</v>
      </c>
      <c r="E11" s="79" t="s">
        <v>6</v>
      </c>
      <c r="F11" s="79" t="s">
        <v>7</v>
      </c>
      <c r="G11" s="79" t="s">
        <v>8</v>
      </c>
      <c r="H11" s="79" t="s">
        <v>9</v>
      </c>
      <c r="I11" s="79" t="s">
        <v>10</v>
      </c>
      <c r="J11" s="79" t="s">
        <v>11</v>
      </c>
      <c r="K11" s="79" t="s">
        <v>12</v>
      </c>
    </row>
    <row r="12" spans="1:16" ht="29.25" customHeight="1">
      <c r="A12" s="80">
        <v>1</v>
      </c>
      <c r="B12" s="81" t="s">
        <v>161</v>
      </c>
      <c r="C12" s="80">
        <v>5</v>
      </c>
      <c r="D12" s="80">
        <v>2250</v>
      </c>
      <c r="E12" s="80">
        <f>D12*C12</f>
        <v>11250</v>
      </c>
      <c r="F12" s="80">
        <v>10</v>
      </c>
      <c r="G12" s="80">
        <v>10</v>
      </c>
      <c r="H12" s="80">
        <f t="shared" ref="H12:H18" si="0">(F12+G12)*1000*C12</f>
        <v>100000</v>
      </c>
      <c r="I12" s="80">
        <f>H12*20%</f>
        <v>20000</v>
      </c>
      <c r="J12" s="80">
        <f>(H12+I12)*12/1000</f>
        <v>1440</v>
      </c>
      <c r="K12" s="82">
        <v>650</v>
      </c>
    </row>
    <row r="13" spans="1:16">
      <c r="A13" s="80">
        <v>2</v>
      </c>
      <c r="B13" s="81" t="s">
        <v>162</v>
      </c>
      <c r="C13" s="80">
        <v>1</v>
      </c>
      <c r="D13" s="80">
        <v>2250</v>
      </c>
      <c r="E13" s="80">
        <f>D13*C13</f>
        <v>2250</v>
      </c>
      <c r="F13" s="80">
        <v>8</v>
      </c>
      <c r="G13" s="80">
        <v>10</v>
      </c>
      <c r="H13" s="80">
        <f>(F13+G13)*1000*C13</f>
        <v>18000</v>
      </c>
      <c r="I13" s="80">
        <f>H13*20%</f>
        <v>3600</v>
      </c>
      <c r="J13" s="80">
        <f t="shared" ref="J13:J18" si="1">(H13+I13)*12/1000</f>
        <v>259.2</v>
      </c>
      <c r="K13" s="82"/>
    </row>
    <row r="14" spans="1:16" ht="18" customHeight="1">
      <c r="A14" s="80">
        <v>3</v>
      </c>
      <c r="B14" s="81" t="s">
        <v>163</v>
      </c>
      <c r="C14" s="80">
        <v>4</v>
      </c>
      <c r="D14" s="80">
        <v>2250</v>
      </c>
      <c r="E14" s="80">
        <f t="shared" ref="E14:E17" si="2">D14*C14</f>
        <v>9000</v>
      </c>
      <c r="F14" s="80">
        <v>8</v>
      </c>
      <c r="G14" s="80">
        <v>10</v>
      </c>
      <c r="H14" s="80">
        <f t="shared" si="0"/>
        <v>72000</v>
      </c>
      <c r="I14" s="80">
        <f t="shared" ref="I14:I18" si="3">H14*20%</f>
        <v>14400</v>
      </c>
      <c r="J14" s="80">
        <f t="shared" si="1"/>
        <v>1036.8</v>
      </c>
      <c r="K14" s="80"/>
    </row>
    <row r="15" spans="1:16">
      <c r="A15" s="80">
        <v>4</v>
      </c>
      <c r="B15" s="81" t="s">
        <v>164</v>
      </c>
      <c r="C15" s="80">
        <v>12</v>
      </c>
      <c r="D15" s="80">
        <v>1750</v>
      </c>
      <c r="E15" s="80">
        <f t="shared" si="2"/>
        <v>21000</v>
      </c>
      <c r="F15" s="80">
        <v>6</v>
      </c>
      <c r="G15" s="80">
        <v>0</v>
      </c>
      <c r="H15" s="80">
        <f t="shared" si="0"/>
        <v>72000</v>
      </c>
      <c r="I15" s="80">
        <f t="shared" si="3"/>
        <v>14400</v>
      </c>
      <c r="J15" s="80">
        <f t="shared" si="1"/>
        <v>1036.8</v>
      </c>
      <c r="K15" s="83"/>
    </row>
    <row r="16" spans="1:16">
      <c r="A16" s="80">
        <v>5</v>
      </c>
      <c r="B16" s="81" t="s">
        <v>95</v>
      </c>
      <c r="C16" s="80">
        <v>15</v>
      </c>
      <c r="D16" s="80">
        <v>1500</v>
      </c>
      <c r="E16" s="80">
        <f t="shared" si="2"/>
        <v>22500</v>
      </c>
      <c r="F16" s="80">
        <v>5</v>
      </c>
      <c r="G16" s="80">
        <v>0</v>
      </c>
      <c r="H16" s="80">
        <f t="shared" si="0"/>
        <v>75000</v>
      </c>
      <c r="I16" s="80">
        <f t="shared" si="3"/>
        <v>15000</v>
      </c>
      <c r="J16" s="80">
        <f t="shared" si="1"/>
        <v>1080</v>
      </c>
      <c r="K16" s="83"/>
    </row>
    <row r="17" spans="1:11" ht="27">
      <c r="A17" s="80">
        <v>6</v>
      </c>
      <c r="B17" s="81" t="s">
        <v>96</v>
      </c>
      <c r="C17" s="80">
        <v>129</v>
      </c>
      <c r="D17" s="80">
        <v>100</v>
      </c>
      <c r="E17" s="80">
        <f t="shared" si="2"/>
        <v>12900</v>
      </c>
      <c r="F17" s="80">
        <v>0.5</v>
      </c>
      <c r="G17" s="80">
        <v>0</v>
      </c>
      <c r="H17" s="80">
        <f>(F17+G17)*1000*C17</f>
        <v>64500</v>
      </c>
      <c r="I17" s="80">
        <f>H17*20%</f>
        <v>12900</v>
      </c>
      <c r="J17" s="80">
        <f t="shared" si="1"/>
        <v>928.8</v>
      </c>
      <c r="K17" s="83"/>
    </row>
    <row r="18" spans="1:11">
      <c r="A18" s="80">
        <v>7</v>
      </c>
      <c r="B18" s="80" t="s">
        <v>83</v>
      </c>
      <c r="C18" s="85">
        <v>12</v>
      </c>
      <c r="D18" s="80">
        <v>360</v>
      </c>
      <c r="E18" s="80">
        <f>D18*1</f>
        <v>360</v>
      </c>
      <c r="F18" s="80">
        <v>0</v>
      </c>
      <c r="G18" s="80">
        <v>0</v>
      </c>
      <c r="H18" s="80">
        <f t="shared" si="0"/>
        <v>0</v>
      </c>
      <c r="I18" s="80">
        <f t="shared" si="3"/>
        <v>0</v>
      </c>
      <c r="J18" s="80">
        <f t="shared" si="1"/>
        <v>0</v>
      </c>
      <c r="K18" s="80"/>
    </row>
    <row r="19" spans="1:11" ht="17.25" customHeight="1">
      <c r="A19" s="80"/>
      <c r="B19" s="80" t="s">
        <v>24</v>
      </c>
      <c r="C19" s="80">
        <f>SUM(C12:C18)</f>
        <v>178</v>
      </c>
      <c r="D19" s="80"/>
      <c r="E19" s="82">
        <f>SUM(E12:E18)</f>
        <v>79260</v>
      </c>
      <c r="F19" s="82"/>
      <c r="G19" s="82"/>
      <c r="H19" s="82">
        <f>SUM(H12:H18)</f>
        <v>401500</v>
      </c>
      <c r="I19" s="82">
        <f>SUM(I12:I18)</f>
        <v>80300</v>
      </c>
      <c r="J19" s="82">
        <f>SUM(J12:J18)</f>
        <v>5781.6</v>
      </c>
      <c r="K19" s="82">
        <f>SUM(K12:K18)</f>
        <v>650</v>
      </c>
    </row>
    <row r="20" spans="1:11" ht="11.25" customHeight="1">
      <c r="A20" s="86"/>
      <c r="B20" s="86"/>
      <c r="C20" s="86"/>
      <c r="D20" s="86"/>
      <c r="E20" s="87"/>
      <c r="F20" s="87"/>
      <c r="G20" s="87"/>
      <c r="H20" s="87"/>
      <c r="I20" s="87"/>
      <c r="J20" s="87"/>
      <c r="K20" s="87"/>
    </row>
    <row r="21" spans="1:11" ht="11.25" customHeight="1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8"/>
    </row>
    <row r="22" spans="1:11">
      <c r="A22" s="86"/>
      <c r="B22" s="80" t="s">
        <v>101</v>
      </c>
      <c r="C22" s="80"/>
      <c r="D22" s="80"/>
      <c r="E22" s="80">
        <f>+E24+E25+E26</f>
        <v>229200</v>
      </c>
      <c r="F22" s="86"/>
      <c r="G22" s="86">
        <f>E22/1000</f>
        <v>229.2</v>
      </c>
      <c r="H22" s="86"/>
      <c r="I22" s="86"/>
      <c r="J22" s="86"/>
      <c r="K22" s="88"/>
    </row>
    <row r="23" spans="1:11">
      <c r="A23" s="86"/>
      <c r="B23" s="80" t="s">
        <v>102</v>
      </c>
      <c r="C23" s="80">
        <v>9</v>
      </c>
      <c r="D23" s="80"/>
      <c r="E23" s="80"/>
      <c r="F23" s="86"/>
      <c r="G23" s="86"/>
      <c r="H23" s="86"/>
      <c r="I23" s="86"/>
      <c r="J23" s="86"/>
      <c r="K23" s="88"/>
    </row>
    <row r="24" spans="1:11">
      <c r="A24" s="86"/>
      <c r="B24" s="89" t="s">
        <v>103</v>
      </c>
      <c r="C24" s="89"/>
      <c r="D24" s="89"/>
      <c r="E24" s="80">
        <v>152200</v>
      </c>
      <c r="F24" s="86"/>
      <c r="H24" s="86"/>
      <c r="I24" s="86"/>
      <c r="J24" s="86"/>
      <c r="K24" s="88"/>
    </row>
    <row r="25" spans="1:11">
      <c r="A25" s="86"/>
      <c r="B25" s="80" t="s">
        <v>104</v>
      </c>
      <c r="C25" s="80"/>
      <c r="D25" s="80"/>
      <c r="E25" s="80">
        <v>73400</v>
      </c>
      <c r="F25" s="86"/>
      <c r="H25" s="86"/>
      <c r="I25" s="86"/>
      <c r="K25" s="88"/>
    </row>
    <row r="26" spans="1:11">
      <c r="A26" s="86"/>
      <c r="B26" s="90" t="s">
        <v>105</v>
      </c>
      <c r="C26" s="91"/>
      <c r="D26" s="92"/>
      <c r="E26" s="80">
        <v>3600</v>
      </c>
      <c r="F26" s="86"/>
      <c r="H26" s="86"/>
      <c r="I26" s="86"/>
      <c r="K26" s="88"/>
    </row>
    <row r="27" spans="1:11">
      <c r="A27" s="86"/>
      <c r="B27" s="93" t="s">
        <v>106</v>
      </c>
      <c r="C27" s="94"/>
      <c r="D27" s="95"/>
      <c r="E27" s="96">
        <f>E19</f>
        <v>79260</v>
      </c>
      <c r="F27" s="86"/>
      <c r="H27" s="86"/>
      <c r="I27" s="86"/>
      <c r="K27" s="88"/>
    </row>
    <row r="28" spans="1:11">
      <c r="A28" s="86"/>
      <c r="B28" s="93" t="s">
        <v>107</v>
      </c>
      <c r="C28" s="94"/>
      <c r="D28" s="95"/>
      <c r="E28" s="80">
        <v>10800</v>
      </c>
      <c r="F28" s="86"/>
      <c r="H28" s="86"/>
      <c r="I28" s="86"/>
      <c r="K28" s="88"/>
    </row>
    <row r="29" spans="1:11">
      <c r="A29" s="86"/>
      <c r="B29" s="93" t="s">
        <v>115</v>
      </c>
      <c r="C29" s="94"/>
      <c r="D29" s="95"/>
      <c r="E29" s="80">
        <f>(E27-10800)*5</f>
        <v>342300</v>
      </c>
      <c r="F29" s="86"/>
      <c r="G29" s="86"/>
      <c r="H29" s="86"/>
      <c r="I29" s="86"/>
      <c r="K29" s="88"/>
    </row>
    <row r="30" spans="1:11" ht="13.5" customHeight="1">
      <c r="A30" s="86"/>
      <c r="B30" s="97" t="s">
        <v>108</v>
      </c>
      <c r="C30" s="98"/>
      <c r="D30" s="99"/>
      <c r="E30" s="80">
        <f>E29*12/1000</f>
        <v>4107.6000000000004</v>
      </c>
      <c r="F30" s="86"/>
      <c r="G30" s="86"/>
      <c r="H30" s="86"/>
      <c r="I30" s="86"/>
      <c r="J30" s="86"/>
      <c r="K30" s="88"/>
    </row>
    <row r="31" spans="1:11">
      <c r="A31" s="86"/>
      <c r="B31" s="100" t="s">
        <v>109</v>
      </c>
      <c r="C31" s="101"/>
      <c r="D31" s="102"/>
      <c r="E31" s="96">
        <f>J19</f>
        <v>5781.6</v>
      </c>
      <c r="F31" s="86"/>
      <c r="G31" s="86"/>
      <c r="H31" s="86"/>
      <c r="I31" s="86"/>
      <c r="J31" s="86"/>
      <c r="K31" s="88"/>
    </row>
    <row r="32" spans="1:11" ht="30" customHeight="1">
      <c r="A32" s="86"/>
      <c r="B32" s="103" t="s">
        <v>110</v>
      </c>
      <c r="C32" s="104"/>
      <c r="D32" s="105"/>
      <c r="E32" s="106">
        <f>E22*12/1000</f>
        <v>2750.4</v>
      </c>
      <c r="F32" s="86"/>
      <c r="G32" s="86"/>
      <c r="H32" s="86"/>
      <c r="I32" s="86"/>
      <c r="J32" s="86"/>
      <c r="K32" s="88"/>
    </row>
    <row r="33" spans="1:11" ht="25.5" customHeight="1">
      <c r="A33" s="86"/>
      <c r="B33" s="103" t="s">
        <v>111</v>
      </c>
      <c r="C33" s="104"/>
      <c r="D33" s="105"/>
      <c r="E33" s="107">
        <f>(E31+E30)</f>
        <v>9889.2000000000007</v>
      </c>
      <c r="F33" s="86"/>
      <c r="G33" s="86"/>
      <c r="H33" s="86"/>
      <c r="I33" s="86"/>
      <c r="J33" s="86"/>
      <c r="K33" s="88"/>
    </row>
    <row r="34" spans="1:11">
      <c r="J34" s="86"/>
    </row>
    <row r="40" spans="1:11">
      <c r="B40" s="108"/>
      <c r="C40" s="108" t="s">
        <v>133</v>
      </c>
      <c r="D40" s="108"/>
      <c r="E40" s="108"/>
      <c r="F40" s="108"/>
      <c r="G40" s="108"/>
      <c r="H40" s="108"/>
      <c r="I40" s="108"/>
    </row>
    <row r="41" spans="1:11" ht="27">
      <c r="B41" s="109" t="s">
        <v>134</v>
      </c>
      <c r="C41" s="110"/>
      <c r="D41" s="111"/>
      <c r="E41" s="112" t="s">
        <v>209</v>
      </c>
      <c r="F41" s="113" t="s">
        <v>135</v>
      </c>
      <c r="G41" s="114" t="s">
        <v>136</v>
      </c>
      <c r="H41" s="114" t="s">
        <v>137</v>
      </c>
      <c r="I41" s="114" t="s">
        <v>138</v>
      </c>
      <c r="J41" s="114" t="s">
        <v>139</v>
      </c>
    </row>
    <row r="42" spans="1:11" ht="14.25">
      <c r="B42" s="329" t="s">
        <v>154</v>
      </c>
      <c r="C42" s="330"/>
      <c r="D42" s="331"/>
      <c r="E42" s="265">
        <v>5</v>
      </c>
      <c r="F42" s="266"/>
      <c r="G42" s="265">
        <v>142</v>
      </c>
      <c r="H42" s="265"/>
      <c r="I42" s="265">
        <v>15</v>
      </c>
      <c r="J42" s="115">
        <f>SUM(E42:I42)</f>
        <v>162</v>
      </c>
    </row>
    <row r="43" spans="1:11" ht="14.25">
      <c r="B43" s="329" t="s">
        <v>38</v>
      </c>
      <c r="C43" s="330"/>
      <c r="D43" s="331"/>
      <c r="E43" s="265"/>
      <c r="F43" s="266"/>
      <c r="G43" s="265">
        <v>14</v>
      </c>
      <c r="H43" s="265"/>
      <c r="I43" s="265">
        <v>16</v>
      </c>
      <c r="J43" s="115">
        <f>SUM(E43:I43)</f>
        <v>30</v>
      </c>
    </row>
    <row r="44" spans="1:11" ht="14.25">
      <c r="B44" s="115" t="s">
        <v>24</v>
      </c>
      <c r="C44" s="116"/>
      <c r="D44" s="117"/>
      <c r="E44" s="115">
        <f>SUM(E42:E42)</f>
        <v>5</v>
      </c>
      <c r="F44" s="80"/>
      <c r="G44" s="115">
        <f>SUM(G42:G43)</f>
        <v>156</v>
      </c>
      <c r="H44" s="115">
        <f>SUM(H42:H42)</f>
        <v>0</v>
      </c>
      <c r="I44" s="115">
        <f>SUM(I42:I43)</f>
        <v>31</v>
      </c>
      <c r="J44" s="115">
        <f>SUM(J42:J43)</f>
        <v>192</v>
      </c>
    </row>
  </sheetData>
  <mergeCells count="11">
    <mergeCell ref="B43:D43"/>
    <mergeCell ref="B42:D42"/>
    <mergeCell ref="I2:K2"/>
    <mergeCell ref="B1:F1"/>
    <mergeCell ref="A9:A10"/>
    <mergeCell ref="B9:B10"/>
    <mergeCell ref="C9:C10"/>
    <mergeCell ref="K9:K10"/>
    <mergeCell ref="A6:K6"/>
    <mergeCell ref="D9:E9"/>
    <mergeCell ref="F9:H9"/>
  </mergeCells>
  <pageMargins left="0.39370078740157483" right="0.27559055118110237" top="0.31496062992125984" bottom="0.23622047244094491" header="0.15748031496062992" footer="0.15748031496062992"/>
  <pageSetup scale="73" orientation="landscape" verticalDpi="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W37"/>
  <sheetViews>
    <sheetView topLeftCell="K2" zoomScaleNormal="100" workbookViewId="0">
      <selection activeCell="T26" sqref="T26"/>
    </sheetView>
  </sheetViews>
  <sheetFormatPr defaultColWidth="9.140625" defaultRowHeight="13.5"/>
  <cols>
    <col min="1" max="1" width="4.42578125" style="123" customWidth="1"/>
    <col min="2" max="2" width="29.7109375" style="123" customWidth="1"/>
    <col min="3" max="3" width="9" style="123" bestFit="1" customWidth="1"/>
    <col min="4" max="4" width="5.140625" style="123" customWidth="1"/>
    <col min="5" max="5" width="10.140625" style="123" bestFit="1" customWidth="1"/>
    <col min="6" max="6" width="11.85546875" style="123" bestFit="1" customWidth="1"/>
    <col min="7" max="7" width="11.42578125" style="123" bestFit="1" customWidth="1"/>
    <col min="8" max="8" width="10.28515625" style="123" bestFit="1" customWidth="1"/>
    <col min="9" max="9" width="11.42578125" style="123" bestFit="1" customWidth="1"/>
    <col min="10" max="10" width="9.28515625" style="123" bestFit="1" customWidth="1"/>
    <col min="11" max="11" width="11.42578125" style="123" bestFit="1" customWidth="1"/>
    <col min="12" max="12" width="10.42578125" style="123" bestFit="1" customWidth="1"/>
    <col min="13" max="13" width="11.42578125" style="123" customWidth="1"/>
    <col min="14" max="14" width="7.5703125" style="123" customWidth="1"/>
    <col min="15" max="15" width="7" style="123" customWidth="1"/>
    <col min="16" max="16" width="9.28515625" style="123" bestFit="1" customWidth="1"/>
    <col min="17" max="17" width="8.7109375" style="123" bestFit="1" customWidth="1"/>
    <col min="18" max="18" width="14.28515625" style="123" customWidth="1"/>
    <col min="19" max="19" width="9.85546875" style="123" bestFit="1" customWidth="1"/>
    <col min="20" max="21" width="9.140625" style="123"/>
    <col min="22" max="22" width="7.28515625" style="123" bestFit="1" customWidth="1"/>
    <col min="23" max="23" width="12.5703125" style="123" customWidth="1"/>
    <col min="24" max="16384" width="9.140625" style="123"/>
  </cols>
  <sheetData>
    <row r="1" spans="1:23" s="7" customFormat="1" ht="23.25" customHeight="1">
      <c r="A1" s="4"/>
      <c r="B1" s="332"/>
      <c r="C1" s="333"/>
      <c r="D1" s="333"/>
      <c r="E1" s="333"/>
      <c r="F1" s="333"/>
      <c r="G1" s="22"/>
      <c r="H1" s="22"/>
      <c r="I1" s="5"/>
      <c r="J1" s="5"/>
      <c r="K1" s="5"/>
      <c r="L1" s="5"/>
      <c r="M1" s="5"/>
      <c r="N1" s="162" t="s">
        <v>47</v>
      </c>
      <c r="O1" s="22"/>
      <c r="Q1" s="5"/>
      <c r="R1" s="162"/>
      <c r="S1" s="22"/>
    </row>
    <row r="2" spans="1:23" s="7" customFormat="1" ht="15" customHeight="1">
      <c r="A2" s="4"/>
      <c r="B2" s="164"/>
      <c r="C2" s="166"/>
      <c r="D2" s="166"/>
      <c r="E2" s="166"/>
      <c r="F2" s="22"/>
      <c r="G2" s="22"/>
      <c r="H2" s="22"/>
      <c r="I2" s="5"/>
      <c r="J2" s="5"/>
      <c r="K2" s="5"/>
      <c r="L2" s="5"/>
      <c r="M2" s="314" t="s">
        <v>21</v>
      </c>
      <c r="N2" s="314"/>
      <c r="O2" s="314"/>
      <c r="Q2" s="314"/>
      <c r="R2" s="314"/>
      <c r="S2" s="314"/>
    </row>
    <row r="3" spans="1:23" s="7" customFormat="1" ht="18" thickBot="1">
      <c r="B3" s="9" t="s">
        <v>65</v>
      </c>
      <c r="C3" s="23" t="s">
        <v>93</v>
      </c>
      <c r="D3" s="11"/>
      <c r="E3" s="11"/>
      <c r="F3" s="11"/>
      <c r="G3" s="24"/>
      <c r="H3" s="24"/>
      <c r="I3" s="5"/>
      <c r="J3" s="5"/>
      <c r="K3" s="5"/>
      <c r="L3" s="5"/>
    </row>
    <row r="4" spans="1:23" s="7" customFormat="1">
      <c r="A4" s="4"/>
      <c r="B4" s="22"/>
      <c r="C4" s="22"/>
      <c r="D4" s="25"/>
      <c r="E4" s="25"/>
      <c r="F4" s="22"/>
      <c r="G4" s="22"/>
      <c r="H4" s="22"/>
      <c r="I4" s="26"/>
      <c r="J4" s="5"/>
      <c r="K4" s="5"/>
      <c r="L4" s="5"/>
      <c r="M4" s="5"/>
      <c r="Q4" s="5"/>
    </row>
    <row r="5" spans="1:23" s="14" customFormat="1" ht="15" customHeight="1">
      <c r="A5" s="337" t="s">
        <v>22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</row>
    <row r="6" spans="1:23" s="14" customFormat="1" ht="15" customHeight="1">
      <c r="A6" s="337" t="s">
        <v>212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</row>
    <row r="7" spans="1:23" s="14" customFormat="1" ht="12.75">
      <c r="A7" s="6"/>
      <c r="B7" s="29"/>
      <c r="C7" s="29"/>
      <c r="D7" s="29"/>
      <c r="E7" s="29"/>
      <c r="F7" s="29"/>
      <c r="G7" s="29"/>
      <c r="H7" s="29"/>
      <c r="I7" s="6"/>
      <c r="J7" s="6"/>
      <c r="K7" s="6"/>
      <c r="L7" s="6"/>
      <c r="O7" s="6"/>
      <c r="P7" s="6"/>
      <c r="Q7" s="6"/>
    </row>
    <row r="8" spans="1:23" s="7" customFormat="1">
      <c r="A8" s="5"/>
      <c r="B8" s="30"/>
      <c r="C8" s="25"/>
      <c r="D8" s="25"/>
      <c r="E8" s="25"/>
      <c r="F8" s="25"/>
      <c r="G8" s="25"/>
      <c r="H8" s="25"/>
      <c r="I8" s="5"/>
    </row>
    <row r="9" spans="1:23" s="31" customFormat="1" ht="12.75" customHeight="1">
      <c r="A9" s="343" t="s">
        <v>0</v>
      </c>
      <c r="B9" s="343" t="s">
        <v>54</v>
      </c>
      <c r="C9" s="343" t="s">
        <v>55</v>
      </c>
      <c r="D9" s="345" t="s">
        <v>56</v>
      </c>
      <c r="E9" s="346"/>
      <c r="F9" s="346"/>
      <c r="G9" s="347"/>
      <c r="H9" s="345" t="s">
        <v>57</v>
      </c>
      <c r="I9" s="346"/>
      <c r="J9" s="346"/>
      <c r="K9" s="346"/>
      <c r="L9" s="346"/>
      <c r="M9" s="347"/>
      <c r="N9" s="345" t="s">
        <v>58</v>
      </c>
      <c r="O9" s="346"/>
      <c r="P9" s="346"/>
      <c r="Q9" s="346"/>
      <c r="R9" s="347"/>
      <c r="S9" s="343" t="s">
        <v>118</v>
      </c>
      <c r="T9" s="343" t="s">
        <v>119</v>
      </c>
      <c r="U9" s="343" t="s">
        <v>120</v>
      </c>
      <c r="V9" s="343" t="s">
        <v>121</v>
      </c>
      <c r="W9" s="343" t="s">
        <v>122</v>
      </c>
    </row>
    <row r="10" spans="1:23" s="32" customFormat="1" ht="51">
      <c r="A10" s="344"/>
      <c r="B10" s="344"/>
      <c r="C10" s="344"/>
      <c r="D10" s="53" t="s">
        <v>59</v>
      </c>
      <c r="E10" s="53" t="s">
        <v>60</v>
      </c>
      <c r="F10" s="53" t="s">
        <v>123</v>
      </c>
      <c r="G10" s="53" t="s">
        <v>214</v>
      </c>
      <c r="H10" s="53" t="s">
        <v>61</v>
      </c>
      <c r="I10" s="53" t="s">
        <v>132</v>
      </c>
      <c r="J10" s="53" t="s">
        <v>124</v>
      </c>
      <c r="K10" s="53" t="s">
        <v>131</v>
      </c>
      <c r="L10" s="53" t="s">
        <v>130</v>
      </c>
      <c r="M10" s="53" t="s">
        <v>217</v>
      </c>
      <c r="N10" s="53" t="s">
        <v>63</v>
      </c>
      <c r="O10" s="53" t="s">
        <v>64</v>
      </c>
      <c r="P10" s="53" t="s">
        <v>129</v>
      </c>
      <c r="Q10" s="54" t="s">
        <v>125</v>
      </c>
      <c r="R10" s="53" t="s">
        <v>215</v>
      </c>
      <c r="S10" s="344"/>
      <c r="T10" s="344"/>
      <c r="U10" s="344"/>
      <c r="V10" s="344"/>
      <c r="W10" s="344"/>
    </row>
    <row r="11" spans="1:23" s="31" customFormat="1">
      <c r="A11" s="163" t="s">
        <v>117</v>
      </c>
      <c r="B11" s="163" t="s">
        <v>2</v>
      </c>
      <c r="C11" s="163" t="s">
        <v>3</v>
      </c>
      <c r="D11" s="163" t="s">
        <v>4</v>
      </c>
      <c r="E11" s="163" t="s">
        <v>19</v>
      </c>
      <c r="F11" s="163" t="s">
        <v>18</v>
      </c>
      <c r="G11" s="163" t="s">
        <v>17</v>
      </c>
      <c r="H11" s="163" t="s">
        <v>16</v>
      </c>
      <c r="I11" s="163" t="s">
        <v>5</v>
      </c>
      <c r="J11" s="163" t="s">
        <v>6</v>
      </c>
      <c r="K11" s="163" t="s">
        <v>15</v>
      </c>
      <c r="L11" s="163" t="s">
        <v>20</v>
      </c>
      <c r="M11" s="163" t="s">
        <v>126</v>
      </c>
      <c r="N11" s="163" t="s">
        <v>0</v>
      </c>
      <c r="O11" s="163" t="s">
        <v>14</v>
      </c>
      <c r="P11" s="163" t="s">
        <v>127</v>
      </c>
      <c r="Q11" s="163" t="s">
        <v>7</v>
      </c>
      <c r="R11" s="163" t="s">
        <v>8</v>
      </c>
      <c r="S11" s="163" t="s">
        <v>9</v>
      </c>
      <c r="T11" s="163" t="s">
        <v>10</v>
      </c>
      <c r="U11" s="163" t="s">
        <v>11</v>
      </c>
      <c r="V11" s="163" t="s">
        <v>13</v>
      </c>
      <c r="W11" s="163" t="s">
        <v>128</v>
      </c>
    </row>
    <row r="12" spans="1:23" s="31" customFormat="1">
      <c r="A12" s="1">
        <v>1</v>
      </c>
      <c r="B12" s="1" t="s">
        <v>66</v>
      </c>
      <c r="C12" s="118">
        <v>1</v>
      </c>
      <c r="D12" s="80">
        <v>1</v>
      </c>
      <c r="E12" s="171">
        <v>2083.3000000000002</v>
      </c>
      <c r="F12" s="171">
        <f t="shared" ref="F12:F18" si="0">D12*E12</f>
        <v>2083.3000000000002</v>
      </c>
      <c r="G12" s="171">
        <f>F12*12/1000</f>
        <v>24.999600000000001</v>
      </c>
      <c r="H12" s="271">
        <v>2250</v>
      </c>
      <c r="I12" s="305">
        <f t="shared" ref="I12:I18" si="1">H12*C12</f>
        <v>2250</v>
      </c>
      <c r="J12" s="171">
        <f t="shared" ref="J12:J18" si="2">I12-D12*360</f>
        <v>1890</v>
      </c>
      <c r="K12" s="269">
        <f>+J12*5</f>
        <v>9450</v>
      </c>
      <c r="L12" s="171">
        <f>+K12</f>
        <v>9450</v>
      </c>
      <c r="M12" s="171">
        <f>L12*12/1000</f>
        <v>113.4</v>
      </c>
      <c r="N12" s="171">
        <v>10</v>
      </c>
      <c r="O12" s="171">
        <v>10</v>
      </c>
      <c r="P12" s="171">
        <f>(N12+O12)*1000*C12</f>
        <v>20000</v>
      </c>
      <c r="Q12" s="171">
        <f>P12*20%</f>
        <v>4000</v>
      </c>
      <c r="R12" s="171">
        <f>(P12+Q12)*12/1000</f>
        <v>288</v>
      </c>
      <c r="S12" s="171">
        <f>G12+M12+R12</f>
        <v>426.39960000000002</v>
      </c>
      <c r="T12" s="270"/>
      <c r="U12" s="270"/>
      <c r="V12" s="270"/>
      <c r="W12" s="270">
        <f>+(S12+T12+U12+V12)</f>
        <v>426.39960000000002</v>
      </c>
    </row>
    <row r="13" spans="1:23" s="31" customFormat="1">
      <c r="A13" s="1"/>
      <c r="B13" s="1" t="s">
        <v>87</v>
      </c>
      <c r="C13" s="118">
        <v>4</v>
      </c>
      <c r="D13" s="80">
        <v>4</v>
      </c>
      <c r="E13" s="171">
        <v>2083.3000000000002</v>
      </c>
      <c r="F13" s="171">
        <f t="shared" si="0"/>
        <v>8333.2000000000007</v>
      </c>
      <c r="G13" s="171">
        <f t="shared" ref="G13:G18" si="3">F13*12/1000</f>
        <v>99.998400000000004</v>
      </c>
      <c r="H13" s="271">
        <v>2250</v>
      </c>
      <c r="I13" s="305">
        <f t="shared" si="1"/>
        <v>9000</v>
      </c>
      <c r="J13" s="171">
        <f t="shared" si="2"/>
        <v>7560</v>
      </c>
      <c r="K13" s="269">
        <f>+J13*5</f>
        <v>37800</v>
      </c>
      <c r="L13" s="171">
        <f>+K13</f>
        <v>37800</v>
      </c>
      <c r="M13" s="171">
        <f t="shared" ref="M13:M18" si="4">L13*12/1000</f>
        <v>453.6</v>
      </c>
      <c r="N13" s="171">
        <v>8</v>
      </c>
      <c r="O13" s="171">
        <v>10</v>
      </c>
      <c r="P13" s="171">
        <f>(N13+O13)*1000*C13</f>
        <v>72000</v>
      </c>
      <c r="Q13" s="171">
        <f>P13*20%</f>
        <v>14400</v>
      </c>
      <c r="R13" s="171">
        <f t="shared" ref="R13:R18" si="5">(P13+Q13)*12/1000</f>
        <v>1036.8</v>
      </c>
      <c r="S13" s="171">
        <f>G13+M13+R13</f>
        <v>1590.3984</v>
      </c>
      <c r="T13" s="270"/>
      <c r="U13" s="270"/>
      <c r="V13" s="270"/>
      <c r="W13" s="270">
        <f t="shared" ref="W13:W18" si="6">+(S13+T13+U13+V13)</f>
        <v>1590.3984</v>
      </c>
    </row>
    <row r="14" spans="1:23" s="31" customFormat="1">
      <c r="A14" s="1">
        <v>2</v>
      </c>
      <c r="B14" s="1" t="s">
        <v>86</v>
      </c>
      <c r="C14" s="118">
        <v>23</v>
      </c>
      <c r="D14" s="261">
        <v>7</v>
      </c>
      <c r="E14" s="171">
        <v>2083.3000000000002</v>
      </c>
      <c r="F14" s="171">
        <f t="shared" si="0"/>
        <v>14583.100000000002</v>
      </c>
      <c r="G14" s="171">
        <f t="shared" si="3"/>
        <v>174.99720000000002</v>
      </c>
      <c r="H14" s="271">
        <v>1500</v>
      </c>
      <c r="I14" s="305">
        <f t="shared" si="1"/>
        <v>34500</v>
      </c>
      <c r="J14" s="171">
        <f t="shared" si="2"/>
        <v>31980</v>
      </c>
      <c r="K14" s="269">
        <f>+J14*5</f>
        <v>159900</v>
      </c>
      <c r="L14" s="171">
        <f>+K14</f>
        <v>159900</v>
      </c>
      <c r="M14" s="171">
        <f t="shared" si="4"/>
        <v>1918.8</v>
      </c>
      <c r="N14" s="171">
        <v>7</v>
      </c>
      <c r="O14" s="171">
        <v>0</v>
      </c>
      <c r="P14" s="171">
        <f>(N14+O14)*1000*C14</f>
        <v>161000</v>
      </c>
      <c r="Q14" s="171">
        <f>P14*20%</f>
        <v>32200</v>
      </c>
      <c r="R14" s="171">
        <f t="shared" si="5"/>
        <v>2318.4</v>
      </c>
      <c r="S14" s="171">
        <f>G14+M14+R14</f>
        <v>4412.1972000000005</v>
      </c>
      <c r="T14" s="270"/>
      <c r="U14" s="270"/>
      <c r="V14" s="270"/>
      <c r="W14" s="270">
        <f t="shared" si="6"/>
        <v>4412.1972000000005</v>
      </c>
    </row>
    <row r="15" spans="1:23" s="31" customFormat="1">
      <c r="A15" s="1">
        <v>3</v>
      </c>
      <c r="B15" s="1" t="s">
        <v>68</v>
      </c>
      <c r="C15" s="118">
        <v>1</v>
      </c>
      <c r="D15" s="80">
        <v>1</v>
      </c>
      <c r="E15" s="171">
        <v>2083.3000000000002</v>
      </c>
      <c r="F15" s="171">
        <f t="shared" si="0"/>
        <v>2083.3000000000002</v>
      </c>
      <c r="G15" s="171">
        <f t="shared" si="3"/>
        <v>24.999600000000001</v>
      </c>
      <c r="H15" s="271">
        <v>1750</v>
      </c>
      <c r="I15" s="305">
        <f t="shared" si="1"/>
        <v>1750</v>
      </c>
      <c r="J15" s="171">
        <f t="shared" si="2"/>
        <v>1390</v>
      </c>
      <c r="K15" s="269">
        <f>+J15*5</f>
        <v>6950</v>
      </c>
      <c r="L15" s="171">
        <f>+K15</f>
        <v>6950</v>
      </c>
      <c r="M15" s="171">
        <f t="shared" si="4"/>
        <v>83.4</v>
      </c>
      <c r="N15" s="171">
        <v>5</v>
      </c>
      <c r="O15" s="171">
        <v>0</v>
      </c>
      <c r="P15" s="171">
        <f>(N15+O15)*1000*C15</f>
        <v>5000</v>
      </c>
      <c r="Q15" s="171">
        <f>P15*20%</f>
        <v>1000</v>
      </c>
      <c r="R15" s="171">
        <f t="shared" si="5"/>
        <v>72</v>
      </c>
      <c r="S15" s="171">
        <f>G15+M15+R15</f>
        <v>180.39960000000002</v>
      </c>
      <c r="T15" s="270"/>
      <c r="U15" s="270"/>
      <c r="V15" s="270"/>
      <c r="W15" s="270">
        <f t="shared" si="6"/>
        <v>180.39960000000002</v>
      </c>
    </row>
    <row r="16" spans="1:23" s="31" customFormat="1">
      <c r="A16" s="1">
        <v>4</v>
      </c>
      <c r="B16" s="1" t="s">
        <v>69</v>
      </c>
      <c r="C16" s="118">
        <v>5</v>
      </c>
      <c r="D16" s="80">
        <v>1</v>
      </c>
      <c r="E16" s="171">
        <v>2083.3000000000002</v>
      </c>
      <c r="F16" s="171">
        <f t="shared" si="0"/>
        <v>2083.3000000000002</v>
      </c>
      <c r="G16" s="171">
        <f t="shared" si="3"/>
        <v>24.999600000000001</v>
      </c>
      <c r="H16" s="271">
        <v>1750</v>
      </c>
      <c r="I16" s="305">
        <f t="shared" si="1"/>
        <v>8750</v>
      </c>
      <c r="J16" s="171">
        <f t="shared" si="2"/>
        <v>8390</v>
      </c>
      <c r="K16" s="269">
        <f>+J16*5</f>
        <v>41950</v>
      </c>
      <c r="L16" s="171">
        <f>+K16</f>
        <v>41950</v>
      </c>
      <c r="M16" s="171">
        <f t="shared" si="4"/>
        <v>503.4</v>
      </c>
      <c r="N16" s="171">
        <v>6</v>
      </c>
      <c r="O16" s="171">
        <v>0</v>
      </c>
      <c r="P16" s="171">
        <f>(N16+O16)*1000*C16</f>
        <v>30000</v>
      </c>
      <c r="Q16" s="171">
        <f>P16*20%</f>
        <v>6000</v>
      </c>
      <c r="R16" s="171">
        <f t="shared" si="5"/>
        <v>432</v>
      </c>
      <c r="S16" s="171">
        <f>G16+M16+R16</f>
        <v>960.39959999999996</v>
      </c>
      <c r="T16" s="270"/>
      <c r="U16" s="270"/>
      <c r="V16" s="270"/>
      <c r="W16" s="270">
        <f t="shared" si="6"/>
        <v>960.39959999999996</v>
      </c>
    </row>
    <row r="17" spans="1:23" s="55" customFormat="1" ht="12" customHeight="1">
      <c r="A17" s="80">
        <v>8</v>
      </c>
      <c r="B17" s="81" t="s">
        <v>114</v>
      </c>
      <c r="C17" s="118">
        <v>12</v>
      </c>
      <c r="D17" s="80">
        <v>0</v>
      </c>
      <c r="E17" s="171">
        <v>2083.3000000000002</v>
      </c>
      <c r="F17" s="171">
        <f t="shared" si="0"/>
        <v>0</v>
      </c>
      <c r="G17" s="171">
        <f t="shared" si="3"/>
        <v>0</v>
      </c>
      <c r="H17" s="271">
        <v>360</v>
      </c>
      <c r="I17" s="305">
        <f>+H17*0</f>
        <v>0</v>
      </c>
      <c r="J17" s="171">
        <f t="shared" si="2"/>
        <v>0</v>
      </c>
      <c r="K17" s="171"/>
      <c r="L17" s="171"/>
      <c r="M17" s="171">
        <f t="shared" si="4"/>
        <v>0</v>
      </c>
      <c r="N17" s="271">
        <v>0</v>
      </c>
      <c r="O17" s="171">
        <v>0</v>
      </c>
      <c r="P17" s="171"/>
      <c r="Q17" s="171"/>
      <c r="R17" s="171">
        <f t="shared" si="5"/>
        <v>0</v>
      </c>
      <c r="S17" s="171"/>
      <c r="T17" s="271"/>
      <c r="U17" s="271"/>
      <c r="V17" s="271"/>
      <c r="W17" s="270">
        <f t="shared" si="6"/>
        <v>0</v>
      </c>
    </row>
    <row r="18" spans="1:23" s="55" customFormat="1" ht="12" customHeight="1">
      <c r="A18" s="80">
        <v>9</v>
      </c>
      <c r="B18" s="80" t="s">
        <v>84</v>
      </c>
      <c r="C18" s="118">
        <v>105</v>
      </c>
      <c r="D18" s="80">
        <v>0</v>
      </c>
      <c r="E18" s="171">
        <v>2083.3000000000002</v>
      </c>
      <c r="F18" s="271">
        <f t="shared" si="0"/>
        <v>0</v>
      </c>
      <c r="G18" s="171">
        <f t="shared" si="3"/>
        <v>0</v>
      </c>
      <c r="H18" s="271">
        <v>100</v>
      </c>
      <c r="I18" s="305">
        <f t="shared" si="1"/>
        <v>10500</v>
      </c>
      <c r="J18" s="171">
        <f t="shared" si="2"/>
        <v>10500</v>
      </c>
      <c r="K18" s="171"/>
      <c r="L18" s="171"/>
      <c r="M18" s="171">
        <f t="shared" si="4"/>
        <v>0</v>
      </c>
      <c r="N18" s="271">
        <v>0</v>
      </c>
      <c r="O18" s="171">
        <v>0</v>
      </c>
      <c r="P18" s="171"/>
      <c r="Q18" s="171"/>
      <c r="R18" s="171">
        <f t="shared" si="5"/>
        <v>0</v>
      </c>
      <c r="S18" s="171"/>
      <c r="T18" s="271"/>
      <c r="U18" s="271"/>
      <c r="V18" s="271"/>
      <c r="W18" s="270">
        <f t="shared" si="6"/>
        <v>0</v>
      </c>
    </row>
    <row r="19" spans="1:23" s="31" customFormat="1" ht="16.5">
      <c r="A19" s="34"/>
      <c r="B19" s="35" t="s">
        <v>24</v>
      </c>
      <c r="C19" s="36">
        <f>SUM(C12:C18)</f>
        <v>151</v>
      </c>
      <c r="D19" s="36">
        <f>SUM(D12:D18)</f>
        <v>14</v>
      </c>
      <c r="E19" s="272"/>
      <c r="F19" s="272">
        <f>SUM(F12:F18)</f>
        <v>29166.2</v>
      </c>
      <c r="G19" s="272">
        <f>SUM(G12:G18)</f>
        <v>349.99439999999998</v>
      </c>
      <c r="H19" s="272"/>
      <c r="I19" s="272">
        <f>SUM(I12:I18)</f>
        <v>66750</v>
      </c>
      <c r="J19" s="272"/>
      <c r="K19" s="273"/>
      <c r="L19" s="272">
        <f>SUM(L12:L18)</f>
        <v>256050</v>
      </c>
      <c r="M19" s="272">
        <f>SUM(M12:M18)</f>
        <v>3072.6000000000004</v>
      </c>
      <c r="N19" s="272"/>
      <c r="O19" s="272"/>
      <c r="P19" s="272"/>
      <c r="Q19" s="272"/>
      <c r="R19" s="272">
        <f>SUM(R12:R16)</f>
        <v>4147.2</v>
      </c>
      <c r="S19" s="274">
        <f>(R19+M19+G19)</f>
        <v>7569.7943999999998</v>
      </c>
      <c r="T19" s="272">
        <f>SUM(T12:T16)</f>
        <v>0</v>
      </c>
      <c r="U19" s="272">
        <f>SUM(U12:U16)</f>
        <v>0</v>
      </c>
      <c r="V19" s="272">
        <f>SUM(V12:V16)</f>
        <v>0</v>
      </c>
      <c r="W19" s="272">
        <f>SUM(W12:W16)</f>
        <v>7569.7943999999998</v>
      </c>
    </row>
    <row r="20" spans="1:23" s="55" customFormat="1">
      <c r="A20" s="119"/>
      <c r="B20" s="120"/>
      <c r="C20" s="121"/>
      <c r="D20" s="121"/>
      <c r="E20" s="304"/>
      <c r="F20" s="304"/>
      <c r="G20" s="298">
        <f>G19</f>
        <v>349.99439999999998</v>
      </c>
      <c r="H20" s="304"/>
      <c r="I20" s="298"/>
      <c r="J20" s="301"/>
      <c r="K20" s="301"/>
      <c r="L20" s="301"/>
      <c r="M20" s="301"/>
      <c r="N20" s="301"/>
      <c r="O20" s="301"/>
      <c r="P20" s="301"/>
      <c r="Q20" s="301"/>
      <c r="R20" s="301">
        <f>(R19+M19)</f>
        <v>7219.8</v>
      </c>
      <c r="S20" s="301"/>
      <c r="T20" s="301"/>
      <c r="U20" s="301"/>
      <c r="V20" s="301"/>
      <c r="W20" s="301"/>
    </row>
    <row r="22" spans="1:23" s="55" customFormat="1">
      <c r="A22" s="86"/>
      <c r="B22" s="80" t="s">
        <v>101</v>
      </c>
      <c r="C22" s="80"/>
      <c r="D22" s="80"/>
      <c r="E22" s="80">
        <f>E24+E25+E26</f>
        <v>229200</v>
      </c>
      <c r="F22" s="86"/>
      <c r="G22" s="86"/>
      <c r="H22" s="86"/>
      <c r="I22" s="86"/>
      <c r="J22" s="86"/>
      <c r="K22" s="88"/>
    </row>
    <row r="23" spans="1:23" s="55" customFormat="1">
      <c r="A23" s="86"/>
      <c r="B23" s="80" t="s">
        <v>102</v>
      </c>
      <c r="C23" s="80">
        <v>9</v>
      </c>
      <c r="D23" s="80"/>
      <c r="E23" s="80"/>
      <c r="F23" s="86"/>
      <c r="G23" s="86"/>
      <c r="H23" s="86"/>
      <c r="I23" s="86"/>
      <c r="J23" s="86"/>
      <c r="K23" s="88"/>
    </row>
    <row r="24" spans="1:23" s="55" customFormat="1">
      <c r="A24" s="86"/>
      <c r="B24" s="89" t="s">
        <v>103</v>
      </c>
      <c r="C24" s="89"/>
      <c r="D24" s="89"/>
      <c r="E24" s="80">
        <v>152200</v>
      </c>
      <c r="F24" s="86"/>
      <c r="H24" s="86"/>
      <c r="I24" s="86"/>
      <c r="J24" s="86"/>
      <c r="K24" s="88"/>
    </row>
    <row r="25" spans="1:23" s="55" customFormat="1">
      <c r="A25" s="86"/>
      <c r="B25" s="80" t="s">
        <v>104</v>
      </c>
      <c r="C25" s="80"/>
      <c r="D25" s="80"/>
      <c r="E25" s="80">
        <v>73400</v>
      </c>
      <c r="F25" s="86"/>
      <c r="H25" s="86"/>
      <c r="I25" s="86"/>
      <c r="K25" s="88"/>
    </row>
    <row r="26" spans="1:23" s="55" customFormat="1">
      <c r="A26" s="86"/>
      <c r="B26" s="90" t="s">
        <v>105</v>
      </c>
      <c r="C26" s="91"/>
      <c r="D26" s="92"/>
      <c r="E26" s="80">
        <v>3600</v>
      </c>
      <c r="F26" s="86"/>
      <c r="H26" s="86"/>
      <c r="I26" s="86"/>
      <c r="K26" s="88"/>
    </row>
    <row r="27" spans="1:23" s="55" customFormat="1" ht="13.5" customHeight="1">
      <c r="A27" s="86"/>
      <c r="B27" s="97" t="s">
        <v>108</v>
      </c>
      <c r="C27" s="98"/>
      <c r="D27" s="99"/>
      <c r="E27" s="80">
        <f>+G20</f>
        <v>349.99439999999998</v>
      </c>
      <c r="F27" s="86"/>
      <c r="G27" s="86"/>
      <c r="H27" s="86"/>
      <c r="I27" s="86"/>
      <c r="J27" s="86"/>
      <c r="K27" s="88"/>
    </row>
    <row r="28" spans="1:23" s="55" customFormat="1">
      <c r="A28" s="86"/>
      <c r="B28" s="100" t="s">
        <v>109</v>
      </c>
      <c r="C28" s="101"/>
      <c r="D28" s="102"/>
      <c r="E28" s="96">
        <f>+R20</f>
        <v>7219.8</v>
      </c>
      <c r="F28" s="86"/>
      <c r="G28" s="86"/>
      <c r="H28" s="86"/>
      <c r="I28" s="86"/>
      <c r="J28" s="86"/>
      <c r="K28" s="88"/>
    </row>
    <row r="29" spans="1:23" s="55" customFormat="1" ht="30" customHeight="1">
      <c r="A29" s="86"/>
      <c r="B29" s="103" t="s">
        <v>110</v>
      </c>
      <c r="C29" s="104"/>
      <c r="D29" s="105"/>
      <c r="E29" s="106">
        <f>E22*12/1000</f>
        <v>2750.4</v>
      </c>
      <c r="F29" s="86"/>
      <c r="G29" s="86"/>
      <c r="H29" s="86"/>
      <c r="I29" s="86"/>
      <c r="J29" s="86"/>
      <c r="K29" s="88"/>
    </row>
    <row r="30" spans="1:23" s="55" customFormat="1" ht="25.5" customHeight="1">
      <c r="A30" s="86"/>
      <c r="B30" s="103" t="s">
        <v>111</v>
      </c>
      <c r="C30" s="104"/>
      <c r="D30" s="105"/>
      <c r="E30" s="107">
        <f>(E28+E27)</f>
        <v>7569.7943999999998</v>
      </c>
      <c r="F30" s="86"/>
      <c r="G30" s="86"/>
      <c r="H30" s="86"/>
      <c r="I30" s="86"/>
      <c r="J30" s="86"/>
      <c r="K30" s="88"/>
    </row>
    <row r="32" spans="1:23">
      <c r="A32" s="55"/>
      <c r="B32" s="7" t="s">
        <v>133</v>
      </c>
      <c r="C32" s="7"/>
      <c r="D32" s="7"/>
      <c r="E32" s="7"/>
      <c r="F32" s="7"/>
      <c r="G32" s="7"/>
      <c r="H32" s="7"/>
      <c r="I32" s="55"/>
    </row>
    <row r="33" spans="1:9" ht="14.25">
      <c r="A33" s="55"/>
      <c r="B33" s="341" t="s">
        <v>134</v>
      </c>
      <c r="C33" s="342"/>
      <c r="D33" s="56" t="s">
        <v>135</v>
      </c>
      <c r="E33" s="1" t="s">
        <v>136</v>
      </c>
      <c r="F33" s="1" t="s">
        <v>137</v>
      </c>
      <c r="G33" s="1" t="s">
        <v>138</v>
      </c>
      <c r="H33" s="1" t="s">
        <v>139</v>
      </c>
      <c r="I33" s="55"/>
    </row>
    <row r="34" spans="1:9" ht="14.25" hidden="1">
      <c r="A34" s="55"/>
      <c r="B34" s="57"/>
      <c r="C34" s="58"/>
      <c r="D34" s="1"/>
      <c r="E34" s="1"/>
      <c r="F34" s="1"/>
      <c r="G34" s="1"/>
      <c r="H34" s="34">
        <f>SUM(D34:G34)</f>
        <v>0</v>
      </c>
      <c r="I34" s="55"/>
    </row>
    <row r="35" spans="1:9" ht="14.25">
      <c r="A35" s="55"/>
      <c r="B35" s="167" t="s">
        <v>33</v>
      </c>
      <c r="C35" s="56"/>
      <c r="D35" s="267">
        <v>28</v>
      </c>
      <c r="E35" s="265">
        <v>105</v>
      </c>
      <c r="F35" s="265"/>
      <c r="G35" s="265">
        <v>18</v>
      </c>
      <c r="H35" s="34">
        <f>SUM(D35:G35)</f>
        <v>151</v>
      </c>
      <c r="I35" s="55"/>
    </row>
    <row r="36" spans="1:9" ht="14.25">
      <c r="A36" s="55"/>
      <c r="B36" s="59" t="s">
        <v>24</v>
      </c>
      <c r="C36" s="56"/>
      <c r="D36" s="60">
        <f>+D34+D35</f>
        <v>28</v>
      </c>
      <c r="E36" s="60">
        <f>+E34+E35</f>
        <v>105</v>
      </c>
      <c r="F36" s="60"/>
      <c r="G36" s="60">
        <f>+G34+G35</f>
        <v>18</v>
      </c>
      <c r="H36" s="60">
        <f>+H34+H35</f>
        <v>151</v>
      </c>
      <c r="I36" s="55"/>
    </row>
    <row r="37" spans="1:9" ht="69" customHeight="1"/>
  </sheetData>
  <mergeCells count="17">
    <mergeCell ref="B1:F1"/>
    <mergeCell ref="Q2:S2"/>
    <mergeCell ref="M2:O2"/>
    <mergeCell ref="U9:U10"/>
    <mergeCell ref="V9:V10"/>
    <mergeCell ref="A6:W6"/>
    <mergeCell ref="A5:W5"/>
    <mergeCell ref="W9:W10"/>
    <mergeCell ref="T9:T10"/>
    <mergeCell ref="S9:S10"/>
    <mergeCell ref="N9:R9"/>
    <mergeCell ref="H9:M9"/>
    <mergeCell ref="B33:C33"/>
    <mergeCell ref="A9:A10"/>
    <mergeCell ref="B9:B10"/>
    <mergeCell ref="C9:C10"/>
    <mergeCell ref="D9:G9"/>
  </mergeCells>
  <pageMargins left="0.47244094488188981" right="0.27559055118110237" top="0.43307086614173229" bottom="0.31496062992125984" header="0.19685039370078741" footer="0.15748031496062992"/>
  <pageSetup scale="55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W30"/>
  <sheetViews>
    <sheetView topLeftCell="A2" zoomScaleNormal="100" workbookViewId="0">
      <selection activeCell="E33" sqref="E33"/>
    </sheetView>
  </sheetViews>
  <sheetFormatPr defaultColWidth="8.42578125" defaultRowHeight="13.5"/>
  <cols>
    <col min="1" max="1" width="2.28515625" style="123" customWidth="1"/>
    <col min="2" max="2" width="21.85546875" style="123" customWidth="1"/>
    <col min="3" max="3" width="7.140625" style="123" customWidth="1"/>
    <col min="4" max="4" width="6" style="123" customWidth="1"/>
    <col min="5" max="5" width="9" style="123" customWidth="1"/>
    <col min="6" max="6" width="8.7109375" style="123" customWidth="1"/>
    <col min="7" max="7" width="10" style="123" customWidth="1"/>
    <col min="8" max="8" width="7.7109375" style="123" customWidth="1"/>
    <col min="9" max="9" width="9.42578125" style="123" bestFit="1" customWidth="1"/>
    <col min="10" max="10" width="8.42578125" style="123" customWidth="1"/>
    <col min="11" max="11" width="9.5703125" style="123" bestFit="1" customWidth="1"/>
    <col min="12" max="12" width="10.28515625" style="123" bestFit="1" customWidth="1"/>
    <col min="13" max="13" width="9.5703125" style="123" customWidth="1"/>
    <col min="14" max="14" width="6.7109375" style="123" customWidth="1"/>
    <col min="15" max="15" width="8" style="123" customWidth="1"/>
    <col min="16" max="16" width="9.5703125" style="123" bestFit="1" customWidth="1"/>
    <col min="17" max="17" width="8.5703125" style="123" bestFit="1" customWidth="1"/>
    <col min="18" max="18" width="12.85546875" style="123" customWidth="1"/>
    <col min="19" max="248" width="9.140625" style="123" customWidth="1"/>
    <col min="249" max="249" width="2.28515625" style="123" customWidth="1"/>
    <col min="250" max="250" width="21.85546875" style="123" customWidth="1"/>
    <col min="251" max="16384" width="8.42578125" style="123"/>
  </cols>
  <sheetData>
    <row r="1" spans="1:23" s="7" customFormat="1" ht="23.25" customHeight="1">
      <c r="A1" s="4"/>
      <c r="B1" s="332"/>
      <c r="C1" s="333"/>
      <c r="D1" s="333"/>
      <c r="E1" s="333"/>
      <c r="F1" s="333"/>
      <c r="G1" s="22"/>
      <c r="H1" s="22"/>
      <c r="I1" s="5"/>
      <c r="J1" s="5"/>
      <c r="K1" s="5"/>
      <c r="L1" s="5"/>
      <c r="Q1" s="5"/>
      <c r="R1" s="162" t="s">
        <v>47</v>
      </c>
      <c r="S1" s="22"/>
    </row>
    <row r="2" spans="1:23" s="7" customFormat="1" ht="15" customHeight="1">
      <c r="A2" s="4"/>
      <c r="B2" s="164"/>
      <c r="C2" s="166"/>
      <c r="D2" s="166"/>
      <c r="E2" s="166"/>
      <c r="F2" s="22"/>
      <c r="G2" s="22"/>
      <c r="H2" s="22"/>
      <c r="I2" s="5"/>
      <c r="J2" s="5"/>
      <c r="K2" s="5"/>
      <c r="L2" s="5"/>
      <c r="Q2" s="314" t="s">
        <v>21</v>
      </c>
      <c r="R2" s="314"/>
      <c r="S2" s="314"/>
    </row>
    <row r="3" spans="1:23" s="7" customFormat="1" ht="35.25" thickBot="1">
      <c r="B3" s="9" t="s">
        <v>65</v>
      </c>
      <c r="C3" s="23" t="s">
        <v>92</v>
      </c>
      <c r="D3" s="11"/>
      <c r="E3" s="11"/>
      <c r="F3" s="11"/>
      <c r="G3" s="24"/>
      <c r="H3" s="24"/>
      <c r="I3" s="5"/>
      <c r="J3" s="5"/>
      <c r="K3" s="5"/>
      <c r="L3" s="5"/>
    </row>
    <row r="4" spans="1:23" s="7" customFormat="1">
      <c r="A4" s="4"/>
      <c r="B4" s="22"/>
      <c r="C4" s="22"/>
      <c r="D4" s="25"/>
      <c r="E4" s="25"/>
      <c r="F4" s="22"/>
      <c r="G4" s="22"/>
      <c r="H4" s="22"/>
      <c r="I4" s="26"/>
      <c r="J4" s="5"/>
      <c r="K4" s="5"/>
      <c r="L4" s="5"/>
      <c r="M4" s="5"/>
    </row>
    <row r="5" spans="1:23" s="14" customFormat="1" ht="15" customHeight="1">
      <c r="A5" s="337" t="s">
        <v>22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</row>
    <row r="6" spans="1:23" s="14" customFormat="1" ht="15" customHeight="1">
      <c r="A6" s="337" t="s">
        <v>212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</row>
    <row r="7" spans="1:23" s="14" customFormat="1" ht="12.75">
      <c r="A7" s="6"/>
      <c r="B7" s="29"/>
      <c r="C7" s="29"/>
      <c r="D7" s="29"/>
      <c r="E7" s="29"/>
      <c r="F7" s="29"/>
      <c r="G7" s="29"/>
      <c r="H7" s="29"/>
      <c r="I7" s="6"/>
      <c r="J7" s="6"/>
      <c r="K7" s="6"/>
      <c r="L7" s="6"/>
      <c r="O7" s="6"/>
      <c r="P7" s="6"/>
    </row>
    <row r="8" spans="1:23" s="7" customFormat="1">
      <c r="A8" s="5"/>
      <c r="B8" s="30"/>
      <c r="C8" s="25"/>
      <c r="D8" s="25"/>
      <c r="E8" s="25"/>
      <c r="F8" s="25"/>
      <c r="G8" s="25"/>
      <c r="H8" s="25"/>
      <c r="I8" s="5"/>
    </row>
    <row r="9" spans="1:23" s="31" customFormat="1" ht="12.75" customHeight="1">
      <c r="A9" s="343" t="s">
        <v>0</v>
      </c>
      <c r="B9" s="343" t="s">
        <v>54</v>
      </c>
      <c r="C9" s="343" t="s">
        <v>55</v>
      </c>
      <c r="D9" s="345" t="s">
        <v>56</v>
      </c>
      <c r="E9" s="346"/>
      <c r="F9" s="346"/>
      <c r="G9" s="347"/>
      <c r="H9" s="345" t="s">
        <v>57</v>
      </c>
      <c r="I9" s="346"/>
      <c r="J9" s="346"/>
      <c r="K9" s="346"/>
      <c r="L9" s="346"/>
      <c r="M9" s="347"/>
      <c r="N9" s="345" t="s">
        <v>58</v>
      </c>
      <c r="O9" s="346"/>
      <c r="P9" s="346"/>
      <c r="Q9" s="346"/>
      <c r="R9" s="347"/>
      <c r="S9" s="343" t="s">
        <v>118</v>
      </c>
      <c r="T9" s="343" t="s">
        <v>119</v>
      </c>
      <c r="U9" s="343" t="s">
        <v>120</v>
      </c>
      <c r="V9" s="343" t="s">
        <v>121</v>
      </c>
      <c r="W9" s="343" t="s">
        <v>122</v>
      </c>
    </row>
    <row r="10" spans="1:23" s="32" customFormat="1" ht="63.75">
      <c r="A10" s="344"/>
      <c r="B10" s="344"/>
      <c r="C10" s="344"/>
      <c r="D10" s="53" t="s">
        <v>59</v>
      </c>
      <c r="E10" s="53" t="s">
        <v>60</v>
      </c>
      <c r="F10" s="53" t="s">
        <v>123</v>
      </c>
      <c r="G10" s="53" t="s">
        <v>214</v>
      </c>
      <c r="H10" s="53" t="s">
        <v>61</v>
      </c>
      <c r="I10" s="53" t="s">
        <v>132</v>
      </c>
      <c r="J10" s="53" t="s">
        <v>124</v>
      </c>
      <c r="K10" s="53" t="s">
        <v>131</v>
      </c>
      <c r="L10" s="53" t="s">
        <v>130</v>
      </c>
      <c r="M10" s="53" t="s">
        <v>217</v>
      </c>
      <c r="N10" s="53" t="s">
        <v>63</v>
      </c>
      <c r="O10" s="53" t="s">
        <v>64</v>
      </c>
      <c r="P10" s="53" t="s">
        <v>129</v>
      </c>
      <c r="Q10" s="54" t="s">
        <v>125</v>
      </c>
      <c r="R10" s="53" t="s">
        <v>215</v>
      </c>
      <c r="S10" s="344"/>
      <c r="T10" s="344"/>
      <c r="U10" s="344"/>
      <c r="V10" s="344"/>
      <c r="W10" s="344"/>
    </row>
    <row r="11" spans="1:23" s="31" customFormat="1">
      <c r="A11" s="163" t="s">
        <v>117</v>
      </c>
      <c r="B11" s="163" t="s">
        <v>2</v>
      </c>
      <c r="C11" s="163" t="s">
        <v>3</v>
      </c>
      <c r="D11" s="163" t="s">
        <v>4</v>
      </c>
      <c r="E11" s="163" t="s">
        <v>19</v>
      </c>
      <c r="F11" s="163" t="s">
        <v>18</v>
      </c>
      <c r="G11" s="163" t="s">
        <v>17</v>
      </c>
      <c r="H11" s="163" t="s">
        <v>16</v>
      </c>
      <c r="I11" s="163" t="s">
        <v>5</v>
      </c>
      <c r="J11" s="163" t="s">
        <v>6</v>
      </c>
      <c r="K11" s="163" t="s">
        <v>15</v>
      </c>
      <c r="L11" s="163" t="s">
        <v>20</v>
      </c>
      <c r="M11" s="163" t="s">
        <v>126</v>
      </c>
      <c r="N11" s="163" t="s">
        <v>0</v>
      </c>
      <c r="O11" s="163" t="s">
        <v>14</v>
      </c>
      <c r="P11" s="163" t="s">
        <v>127</v>
      </c>
      <c r="Q11" s="163" t="s">
        <v>7</v>
      </c>
      <c r="R11" s="163" t="s">
        <v>8</v>
      </c>
      <c r="S11" s="163" t="s">
        <v>9</v>
      </c>
      <c r="T11" s="163" t="s">
        <v>10</v>
      </c>
      <c r="U11" s="163" t="s">
        <v>11</v>
      </c>
      <c r="V11" s="163" t="s">
        <v>13</v>
      </c>
      <c r="W11" s="163" t="s">
        <v>128</v>
      </c>
    </row>
    <row r="12" spans="1:23" s="31" customFormat="1">
      <c r="A12" s="1">
        <v>1</v>
      </c>
      <c r="B12" s="1" t="s">
        <v>66</v>
      </c>
      <c r="C12" s="80">
        <v>1</v>
      </c>
      <c r="D12" s="80">
        <v>1</v>
      </c>
      <c r="E12" s="171">
        <v>2083.3000000000002</v>
      </c>
      <c r="F12" s="171">
        <f t="shared" ref="F12:F18" si="0">D12*E12</f>
        <v>2083.3000000000002</v>
      </c>
      <c r="G12" s="171">
        <f>F12*12/1000</f>
        <v>24.999600000000001</v>
      </c>
      <c r="H12" s="171">
        <v>2250</v>
      </c>
      <c r="I12" s="268">
        <f t="shared" ref="I12:I17" si="1">H12*C12</f>
        <v>2250</v>
      </c>
      <c r="J12" s="171">
        <f t="shared" ref="J12:J18" si="2">I12-D12*360</f>
        <v>1890</v>
      </c>
      <c r="K12" s="269">
        <f>+J12*5</f>
        <v>9450</v>
      </c>
      <c r="L12" s="171">
        <f>+K12</f>
        <v>9450</v>
      </c>
      <c r="M12" s="171">
        <f>L12*12/1000</f>
        <v>113.4</v>
      </c>
      <c r="N12" s="271">
        <v>10</v>
      </c>
      <c r="O12" s="171">
        <v>10</v>
      </c>
      <c r="P12" s="171">
        <f t="shared" ref="P12:P18" si="3">(N12+O12)*1000*C12</f>
        <v>20000</v>
      </c>
      <c r="Q12" s="171">
        <f>P12*20%</f>
        <v>4000</v>
      </c>
      <c r="R12" s="171">
        <f>(P12+Q12)*12/1000</f>
        <v>288</v>
      </c>
      <c r="S12" s="171">
        <f t="shared" ref="S12:S18" si="4">G12+M12+R12</f>
        <v>426.39960000000002</v>
      </c>
      <c r="T12" s="270"/>
      <c r="U12" s="270"/>
      <c r="V12" s="270"/>
      <c r="W12" s="270">
        <f>+(S12+T12+U12+V12)</f>
        <v>426.39960000000002</v>
      </c>
    </row>
    <row r="13" spans="1:23" s="31" customFormat="1">
      <c r="A13" s="1">
        <v>2</v>
      </c>
      <c r="B13" s="1" t="s">
        <v>89</v>
      </c>
      <c r="C13" s="80">
        <v>18</v>
      </c>
      <c r="D13" s="80">
        <v>18</v>
      </c>
      <c r="E13" s="171">
        <v>2083.3000000000002</v>
      </c>
      <c r="F13" s="171">
        <f t="shared" si="0"/>
        <v>37499.4</v>
      </c>
      <c r="G13" s="171">
        <f t="shared" ref="G13:G18" si="5">F13*12/1000</f>
        <v>449.99280000000005</v>
      </c>
      <c r="H13" s="171">
        <v>1500</v>
      </c>
      <c r="I13" s="268">
        <f t="shared" si="1"/>
        <v>27000</v>
      </c>
      <c r="J13" s="171">
        <f t="shared" si="2"/>
        <v>20520</v>
      </c>
      <c r="K13" s="269">
        <f t="shared" ref="K13:K18" si="6">+J13*5</f>
        <v>102600</v>
      </c>
      <c r="L13" s="171">
        <f t="shared" ref="L13:L18" si="7">+K13</f>
        <v>102600</v>
      </c>
      <c r="M13" s="171">
        <f t="shared" ref="M13:M18" si="8">L13*12/1000</f>
        <v>1231.2</v>
      </c>
      <c r="N13" s="271">
        <v>7</v>
      </c>
      <c r="O13" s="171">
        <v>0</v>
      </c>
      <c r="P13" s="171">
        <f t="shared" si="3"/>
        <v>126000</v>
      </c>
      <c r="Q13" s="171">
        <f t="shared" ref="Q13:Q18" si="9">P13*20%</f>
        <v>25200</v>
      </c>
      <c r="R13" s="171">
        <f t="shared" ref="R13:R18" si="10">(P13+Q13)*12/1000</f>
        <v>1814.4</v>
      </c>
      <c r="S13" s="171">
        <f t="shared" si="4"/>
        <v>3495.5928000000004</v>
      </c>
      <c r="T13" s="270"/>
      <c r="U13" s="270"/>
      <c r="V13" s="270"/>
      <c r="W13" s="270">
        <f t="shared" ref="W13:W18" si="11">+(S13+T13+U13+V13)</f>
        <v>3495.5928000000004</v>
      </c>
    </row>
    <row r="14" spans="1:23" s="31" customFormat="1">
      <c r="A14" s="1">
        <v>3</v>
      </c>
      <c r="B14" s="1" t="s">
        <v>68</v>
      </c>
      <c r="C14" s="80">
        <v>1</v>
      </c>
      <c r="D14" s="80">
        <v>1</v>
      </c>
      <c r="E14" s="171">
        <v>2083.3000000000002</v>
      </c>
      <c r="F14" s="171">
        <f t="shared" si="0"/>
        <v>2083.3000000000002</v>
      </c>
      <c r="G14" s="171">
        <f t="shared" si="5"/>
        <v>24.999600000000001</v>
      </c>
      <c r="H14" s="171">
        <v>1750</v>
      </c>
      <c r="I14" s="268">
        <f t="shared" si="1"/>
        <v>1750</v>
      </c>
      <c r="J14" s="171">
        <f t="shared" si="2"/>
        <v>1390</v>
      </c>
      <c r="K14" s="269">
        <f t="shared" si="6"/>
        <v>6950</v>
      </c>
      <c r="L14" s="171">
        <f t="shared" si="7"/>
        <v>6950</v>
      </c>
      <c r="M14" s="171">
        <f t="shared" si="8"/>
        <v>83.4</v>
      </c>
      <c r="N14" s="271">
        <v>4</v>
      </c>
      <c r="O14" s="171">
        <v>0</v>
      </c>
      <c r="P14" s="171">
        <f t="shared" si="3"/>
        <v>4000</v>
      </c>
      <c r="Q14" s="171">
        <f t="shared" si="9"/>
        <v>800</v>
      </c>
      <c r="R14" s="171">
        <f t="shared" si="10"/>
        <v>57.6</v>
      </c>
      <c r="S14" s="171">
        <f t="shared" si="4"/>
        <v>165.99960000000002</v>
      </c>
      <c r="T14" s="270"/>
      <c r="U14" s="270"/>
      <c r="V14" s="270"/>
      <c r="W14" s="270">
        <f t="shared" si="11"/>
        <v>165.99960000000002</v>
      </c>
    </row>
    <row r="15" spans="1:23" s="31" customFormat="1">
      <c r="A15" s="1">
        <v>4</v>
      </c>
      <c r="B15" s="1" t="s">
        <v>69</v>
      </c>
      <c r="C15" s="80">
        <v>1</v>
      </c>
      <c r="D15" s="80">
        <v>1</v>
      </c>
      <c r="E15" s="171">
        <v>2083.3000000000002</v>
      </c>
      <c r="F15" s="171">
        <f t="shared" si="0"/>
        <v>2083.3000000000002</v>
      </c>
      <c r="G15" s="171">
        <f t="shared" si="5"/>
        <v>24.999600000000001</v>
      </c>
      <c r="H15" s="171">
        <v>1750</v>
      </c>
      <c r="I15" s="268">
        <f t="shared" si="1"/>
        <v>1750</v>
      </c>
      <c r="J15" s="171">
        <f t="shared" si="2"/>
        <v>1390</v>
      </c>
      <c r="K15" s="269">
        <f t="shared" si="6"/>
        <v>6950</v>
      </c>
      <c r="L15" s="171">
        <f t="shared" si="7"/>
        <v>6950</v>
      </c>
      <c r="M15" s="171">
        <f t="shared" si="8"/>
        <v>83.4</v>
      </c>
      <c r="N15" s="271">
        <v>5</v>
      </c>
      <c r="O15" s="171">
        <v>0</v>
      </c>
      <c r="P15" s="171">
        <f t="shared" si="3"/>
        <v>5000</v>
      </c>
      <c r="Q15" s="171">
        <f t="shared" si="9"/>
        <v>1000</v>
      </c>
      <c r="R15" s="171">
        <f t="shared" si="10"/>
        <v>72</v>
      </c>
      <c r="S15" s="171">
        <f t="shared" si="4"/>
        <v>180.39960000000002</v>
      </c>
      <c r="T15" s="270"/>
      <c r="U15" s="270"/>
      <c r="V15" s="270"/>
      <c r="W15" s="270">
        <f t="shared" si="11"/>
        <v>180.39960000000002</v>
      </c>
    </row>
    <row r="16" spans="1:23" s="31" customFormat="1">
      <c r="A16" s="1">
        <v>5</v>
      </c>
      <c r="B16" s="1" t="s">
        <v>70</v>
      </c>
      <c r="C16" s="80">
        <v>1</v>
      </c>
      <c r="D16" s="80">
        <v>1</v>
      </c>
      <c r="E16" s="171">
        <v>2083.3000000000002</v>
      </c>
      <c r="F16" s="171">
        <f t="shared" si="0"/>
        <v>2083.3000000000002</v>
      </c>
      <c r="G16" s="171">
        <f t="shared" si="5"/>
        <v>24.999600000000001</v>
      </c>
      <c r="H16" s="171">
        <v>1250</v>
      </c>
      <c r="I16" s="268">
        <f t="shared" si="1"/>
        <v>1250</v>
      </c>
      <c r="J16" s="171">
        <f t="shared" si="2"/>
        <v>890</v>
      </c>
      <c r="K16" s="269">
        <f t="shared" si="6"/>
        <v>4450</v>
      </c>
      <c r="L16" s="171">
        <f t="shared" si="7"/>
        <v>4450</v>
      </c>
      <c r="M16" s="171">
        <f t="shared" si="8"/>
        <v>53.4</v>
      </c>
      <c r="N16" s="271">
        <v>2</v>
      </c>
      <c r="O16" s="171">
        <v>0</v>
      </c>
      <c r="P16" s="171">
        <f t="shared" si="3"/>
        <v>2000</v>
      </c>
      <c r="Q16" s="171">
        <f t="shared" si="9"/>
        <v>400</v>
      </c>
      <c r="R16" s="171">
        <f t="shared" si="10"/>
        <v>28.8</v>
      </c>
      <c r="S16" s="171">
        <f t="shared" si="4"/>
        <v>107.19959999999999</v>
      </c>
      <c r="T16" s="270"/>
      <c r="U16" s="270"/>
      <c r="V16" s="270"/>
      <c r="W16" s="270">
        <f t="shared" si="11"/>
        <v>107.19959999999999</v>
      </c>
    </row>
    <row r="17" spans="1:23" s="31" customFormat="1">
      <c r="A17" s="1">
        <v>7</v>
      </c>
      <c r="B17" s="33" t="s">
        <v>73</v>
      </c>
      <c r="C17" s="84">
        <v>58</v>
      </c>
      <c r="D17" s="85">
        <v>17</v>
      </c>
      <c r="E17" s="171">
        <v>2083.3000000000002</v>
      </c>
      <c r="F17" s="171">
        <f>D17*E17</f>
        <v>35416.100000000006</v>
      </c>
      <c r="G17" s="171">
        <f t="shared" si="5"/>
        <v>424.99320000000006</v>
      </c>
      <c r="H17" s="171">
        <v>100</v>
      </c>
      <c r="I17" s="268">
        <f t="shared" si="1"/>
        <v>5800</v>
      </c>
      <c r="J17" s="171">
        <f t="shared" si="2"/>
        <v>-320</v>
      </c>
      <c r="K17" s="269">
        <f t="shared" si="6"/>
        <v>-1600</v>
      </c>
      <c r="L17" s="171">
        <f t="shared" si="7"/>
        <v>-1600</v>
      </c>
      <c r="M17" s="171">
        <f t="shared" si="8"/>
        <v>-19.2</v>
      </c>
      <c r="N17" s="271">
        <v>0.5</v>
      </c>
      <c r="O17" s="171">
        <v>0</v>
      </c>
      <c r="P17" s="171">
        <f t="shared" si="3"/>
        <v>29000</v>
      </c>
      <c r="Q17" s="171">
        <f>P17*20%</f>
        <v>5800</v>
      </c>
      <c r="R17" s="171">
        <f t="shared" si="10"/>
        <v>417.6</v>
      </c>
      <c r="S17" s="171">
        <f t="shared" si="4"/>
        <v>823.39320000000009</v>
      </c>
      <c r="T17" s="271"/>
      <c r="U17" s="271"/>
      <c r="V17" s="271"/>
      <c r="W17" s="270">
        <f t="shared" si="11"/>
        <v>823.39320000000009</v>
      </c>
    </row>
    <row r="18" spans="1:23" s="31" customFormat="1">
      <c r="A18" s="1">
        <v>8</v>
      </c>
      <c r="B18" s="1" t="s">
        <v>72</v>
      </c>
      <c r="C18" s="85">
        <v>28</v>
      </c>
      <c r="D18" s="80"/>
      <c r="E18" s="171">
        <v>2083.3000000000002</v>
      </c>
      <c r="F18" s="171">
        <f t="shared" si="0"/>
        <v>0</v>
      </c>
      <c r="G18" s="171">
        <f t="shared" si="5"/>
        <v>0</v>
      </c>
      <c r="H18" s="171">
        <v>360</v>
      </c>
      <c r="I18" s="268">
        <f>H18*D18</f>
        <v>0</v>
      </c>
      <c r="J18" s="171">
        <f t="shared" si="2"/>
        <v>0</v>
      </c>
      <c r="K18" s="269">
        <f t="shared" si="6"/>
        <v>0</v>
      </c>
      <c r="L18" s="171">
        <f t="shared" si="7"/>
        <v>0</v>
      </c>
      <c r="M18" s="171">
        <f t="shared" si="8"/>
        <v>0</v>
      </c>
      <c r="N18" s="271">
        <v>0</v>
      </c>
      <c r="O18" s="171">
        <v>0</v>
      </c>
      <c r="P18" s="171">
        <f t="shared" si="3"/>
        <v>0</v>
      </c>
      <c r="Q18" s="171">
        <f t="shared" si="9"/>
        <v>0</v>
      </c>
      <c r="R18" s="171">
        <f t="shared" si="10"/>
        <v>0</v>
      </c>
      <c r="S18" s="171">
        <f t="shared" si="4"/>
        <v>0</v>
      </c>
      <c r="T18" s="271"/>
      <c r="U18" s="271"/>
      <c r="V18" s="271"/>
      <c r="W18" s="270">
        <f t="shared" si="11"/>
        <v>0</v>
      </c>
    </row>
    <row r="19" spans="1:23" s="31" customFormat="1" ht="16.5">
      <c r="A19" s="34"/>
      <c r="B19" s="35" t="s">
        <v>24</v>
      </c>
      <c r="C19" s="36">
        <f>SUM(C12:C18)</f>
        <v>108</v>
      </c>
      <c r="D19" s="36">
        <f>SUM(D12:D18)</f>
        <v>39</v>
      </c>
      <c r="E19" s="272"/>
      <c r="F19" s="272">
        <f>SUM(F12:F18)</f>
        <v>81248.700000000012</v>
      </c>
      <c r="G19" s="272">
        <f>SUM(G12:G18)</f>
        <v>974.98440000000005</v>
      </c>
      <c r="H19" s="272"/>
      <c r="I19" s="272">
        <f>SUM(I12:I18)</f>
        <v>39800</v>
      </c>
      <c r="J19" s="272"/>
      <c r="K19" s="273"/>
      <c r="L19" s="272">
        <f>SUM(L12:L18)</f>
        <v>128800</v>
      </c>
      <c r="M19" s="272">
        <f>SUM(M12:M18)</f>
        <v>1545.6000000000004</v>
      </c>
      <c r="N19" s="272"/>
      <c r="O19" s="272"/>
      <c r="P19" s="272"/>
      <c r="Q19" s="272"/>
      <c r="R19" s="272">
        <f>SUM(R12:R18)</f>
        <v>2678.4</v>
      </c>
      <c r="S19" s="274">
        <f>(R19+M19+G19)</f>
        <v>5198.9844000000003</v>
      </c>
      <c r="T19" s="280">
        <f>SUM(T11:T16)</f>
        <v>0</v>
      </c>
      <c r="U19" s="280">
        <f>SUM(U11:U16)</f>
        <v>0</v>
      </c>
      <c r="V19" s="280">
        <f>SUM(V11:V16)</f>
        <v>0</v>
      </c>
      <c r="W19" s="280">
        <f>SUM(W11:W18)</f>
        <v>5198.9844000000012</v>
      </c>
    </row>
    <row r="20" spans="1:23" s="55" customFormat="1" ht="14.25">
      <c r="A20" s="119"/>
      <c r="B20" s="120"/>
      <c r="C20" s="121"/>
      <c r="D20" s="121"/>
      <c r="E20" s="304"/>
      <c r="F20" s="304"/>
      <c r="G20" s="298">
        <f>G19</f>
        <v>974.98440000000005</v>
      </c>
      <c r="H20" s="304"/>
      <c r="I20" s="298"/>
      <c r="J20" s="301"/>
      <c r="K20" s="301"/>
      <c r="L20" s="301"/>
      <c r="M20" s="301"/>
      <c r="N20" s="301"/>
      <c r="O20" s="301"/>
      <c r="P20" s="301"/>
      <c r="Q20" s="301"/>
      <c r="R20" s="301">
        <f>(R19+M19)</f>
        <v>4224</v>
      </c>
      <c r="S20" s="301"/>
      <c r="T20" s="303"/>
      <c r="U20" s="303"/>
      <c r="V20" s="303"/>
      <c r="W20" s="303"/>
    </row>
    <row r="23" spans="1:23" ht="14.25">
      <c r="B23" s="341" t="s">
        <v>134</v>
      </c>
      <c r="C23" s="342"/>
      <c r="D23" s="56" t="s">
        <v>135</v>
      </c>
      <c r="E23" s="1" t="s">
        <v>136</v>
      </c>
      <c r="F23" s="1" t="s">
        <v>137</v>
      </c>
      <c r="G23" s="1" t="s">
        <v>138</v>
      </c>
      <c r="H23" s="1" t="s">
        <v>139</v>
      </c>
    </row>
    <row r="24" spans="1:23" ht="14.25">
      <c r="B24" s="348" t="s">
        <v>34</v>
      </c>
      <c r="C24" s="349"/>
      <c r="D24" s="267">
        <v>19</v>
      </c>
      <c r="E24" s="265">
        <v>61</v>
      </c>
      <c r="F24" s="265"/>
      <c r="G24" s="265">
        <v>28</v>
      </c>
      <c r="H24" s="34">
        <f>SUM(D24:G24)</f>
        <v>108</v>
      </c>
    </row>
    <row r="25" spans="1:23" ht="14.25">
      <c r="B25" s="59" t="s">
        <v>24</v>
      </c>
      <c r="C25" s="56"/>
      <c r="D25" s="60">
        <f>SUM(D24:D24)</f>
        <v>19</v>
      </c>
      <c r="E25" s="60">
        <f>SUM(E24:E24)</f>
        <v>61</v>
      </c>
      <c r="F25" s="60">
        <f>SUM(F24:F24)</f>
        <v>0</v>
      </c>
      <c r="G25" s="60">
        <f>SUM(G24:G24)</f>
        <v>28</v>
      </c>
      <c r="H25" s="60">
        <f>SUM(H24:H24)</f>
        <v>108</v>
      </c>
    </row>
    <row r="30" spans="1:23" ht="69" customHeight="1"/>
  </sheetData>
  <mergeCells count="17">
    <mergeCell ref="B1:F1"/>
    <mergeCell ref="S9:S10"/>
    <mergeCell ref="Q2:S2"/>
    <mergeCell ref="A9:A10"/>
    <mergeCell ref="B9:B10"/>
    <mergeCell ref="C9:C10"/>
    <mergeCell ref="D9:G9"/>
    <mergeCell ref="H9:M9"/>
    <mergeCell ref="N9:R9"/>
    <mergeCell ref="A6:W6"/>
    <mergeCell ref="A5:W5"/>
    <mergeCell ref="B24:C24"/>
    <mergeCell ref="T9:T10"/>
    <mergeCell ref="U9:U10"/>
    <mergeCell ref="V9:V10"/>
    <mergeCell ref="W9:W10"/>
    <mergeCell ref="B23:C23"/>
  </mergeCells>
  <pageMargins left="0.65" right="0.23622047244094491" top="0.4" bottom="0.23622047244094491" header="0.19685039370078741" footer="0.31496062992125984"/>
  <pageSetup paperSize="9" scale="67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W30"/>
  <sheetViews>
    <sheetView topLeftCell="J4" zoomScaleNormal="100" workbookViewId="0">
      <selection activeCell="C19" sqref="C19"/>
    </sheetView>
  </sheetViews>
  <sheetFormatPr defaultColWidth="9" defaultRowHeight="13.5"/>
  <cols>
    <col min="1" max="1" width="5" style="123" customWidth="1"/>
    <col min="2" max="2" width="22.85546875" style="123" customWidth="1"/>
    <col min="3" max="3" width="6" style="123" customWidth="1"/>
    <col min="4" max="4" width="10.42578125" style="123" customWidth="1"/>
    <col min="5" max="5" width="10.140625" style="123" bestFit="1" customWidth="1"/>
    <col min="6" max="6" width="9.42578125" style="123" bestFit="1" customWidth="1"/>
    <col min="7" max="7" width="10.7109375" style="123" bestFit="1" customWidth="1"/>
    <col min="8" max="8" width="11.42578125" style="123" bestFit="1" customWidth="1"/>
    <col min="9" max="9" width="9.28515625" style="123" bestFit="1" customWidth="1"/>
    <col min="10" max="10" width="8.7109375" style="123" bestFit="1" customWidth="1"/>
    <col min="11" max="11" width="11.5703125" style="123" bestFit="1" customWidth="1"/>
    <col min="12" max="12" width="10.28515625" style="123" bestFit="1" customWidth="1"/>
    <col min="13" max="13" width="12" style="123" bestFit="1" customWidth="1"/>
    <col min="14" max="14" width="6.7109375" style="123" customWidth="1"/>
    <col min="15" max="15" width="11.28515625" style="123" bestFit="1" customWidth="1"/>
    <col min="16" max="16" width="9.5703125" style="123" bestFit="1" customWidth="1"/>
    <col min="17" max="17" width="8.85546875" style="123" bestFit="1" customWidth="1"/>
    <col min="18" max="19" width="11.7109375" style="123" bestFit="1" customWidth="1"/>
    <col min="20" max="20" width="9.140625" style="123" customWidth="1"/>
    <col min="21" max="21" width="8.85546875" style="123" customWidth="1"/>
    <col min="22" max="22" width="6.85546875" style="123" customWidth="1"/>
    <col min="23" max="23" width="11.7109375" style="123" bestFit="1" customWidth="1"/>
    <col min="24" max="245" width="9.140625" style="123" customWidth="1"/>
    <col min="246" max="246" width="5" style="123" customWidth="1"/>
    <col min="247" max="247" width="20.85546875" style="123" customWidth="1"/>
    <col min="248" max="248" width="6" style="123" customWidth="1"/>
    <col min="249" max="249" width="10.42578125" style="123" customWidth="1"/>
    <col min="250" max="16384" width="9" style="123"/>
  </cols>
  <sheetData>
    <row r="1" spans="1:23" s="7" customFormat="1" ht="23.25" customHeight="1">
      <c r="A1" s="4"/>
      <c r="B1" s="332"/>
      <c r="C1" s="333"/>
      <c r="D1" s="333"/>
      <c r="E1" s="333"/>
      <c r="F1" s="333"/>
      <c r="G1" s="22"/>
      <c r="H1" s="22"/>
      <c r="I1" s="5"/>
      <c r="J1" s="5"/>
      <c r="K1" s="5"/>
      <c r="L1" s="5"/>
      <c r="Q1" s="5"/>
      <c r="R1" s="162" t="s">
        <v>47</v>
      </c>
      <c r="S1" s="22"/>
    </row>
    <row r="2" spans="1:23" s="7" customFormat="1" ht="15" customHeight="1">
      <c r="A2" s="4"/>
      <c r="B2" s="164"/>
      <c r="C2" s="166"/>
      <c r="D2" s="166"/>
      <c r="E2" s="166"/>
      <c r="F2" s="22"/>
      <c r="G2" s="22"/>
      <c r="H2" s="22"/>
      <c r="I2" s="5"/>
      <c r="J2" s="5"/>
      <c r="K2" s="5"/>
      <c r="L2" s="5"/>
      <c r="Q2" s="314" t="s">
        <v>21</v>
      </c>
      <c r="R2" s="314"/>
      <c r="S2" s="314"/>
    </row>
    <row r="3" spans="1:23" s="7" customFormat="1" ht="18" thickBot="1">
      <c r="B3" s="9" t="s">
        <v>65</v>
      </c>
      <c r="C3" s="23" t="s">
        <v>90</v>
      </c>
      <c r="D3" s="11"/>
      <c r="E3" s="11"/>
      <c r="F3" s="11"/>
      <c r="G3" s="24"/>
      <c r="H3" s="24"/>
      <c r="I3" s="5"/>
      <c r="J3" s="5"/>
      <c r="K3" s="5"/>
      <c r="L3" s="5"/>
    </row>
    <row r="4" spans="1:23" s="7" customFormat="1" ht="12.75" customHeight="1">
      <c r="A4" s="4"/>
      <c r="B4" s="22"/>
      <c r="C4" s="22"/>
      <c r="D4" s="25"/>
      <c r="E4" s="25"/>
      <c r="F4" s="22"/>
      <c r="G4" s="22"/>
      <c r="H4" s="22"/>
      <c r="I4" s="26"/>
      <c r="J4" s="5"/>
      <c r="K4" s="5"/>
      <c r="L4" s="5"/>
      <c r="M4" s="5"/>
      <c r="Q4" s="5"/>
      <c r="R4" s="5"/>
      <c r="S4" s="5"/>
    </row>
    <row r="5" spans="1:23" s="14" customFormat="1" ht="15" customHeight="1">
      <c r="A5" s="337" t="s">
        <v>22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</row>
    <row r="6" spans="1:23" s="14" customFormat="1" ht="15" customHeight="1">
      <c r="A6" s="337" t="s">
        <v>212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</row>
    <row r="7" spans="1:23" s="14" customFormat="1" ht="9.75" customHeight="1">
      <c r="A7" s="6"/>
      <c r="B7" s="29"/>
      <c r="C7" s="29"/>
      <c r="D7" s="29"/>
      <c r="E7" s="29"/>
      <c r="F7" s="29"/>
      <c r="G7" s="29"/>
      <c r="H7" s="29"/>
      <c r="I7" s="6"/>
      <c r="J7" s="6"/>
      <c r="K7" s="6"/>
      <c r="L7" s="6"/>
      <c r="O7" s="6"/>
      <c r="P7" s="6"/>
      <c r="Q7" s="6"/>
      <c r="R7" s="6"/>
      <c r="S7" s="6"/>
    </row>
    <row r="8" spans="1:23" s="7" customFormat="1">
      <c r="A8" s="5"/>
      <c r="B8" s="30"/>
      <c r="C8" s="25"/>
      <c r="D8" s="25"/>
      <c r="E8" s="25"/>
      <c r="F8" s="25"/>
      <c r="G8" s="25"/>
      <c r="H8" s="25"/>
      <c r="I8" s="5"/>
    </row>
    <row r="9" spans="1:23" s="31" customFormat="1" ht="12.75" customHeight="1">
      <c r="A9" s="343" t="s">
        <v>0</v>
      </c>
      <c r="B9" s="343" t="s">
        <v>54</v>
      </c>
      <c r="C9" s="343" t="s">
        <v>55</v>
      </c>
      <c r="D9" s="345" t="s">
        <v>56</v>
      </c>
      <c r="E9" s="346"/>
      <c r="F9" s="346"/>
      <c r="G9" s="347"/>
      <c r="H9" s="345" t="s">
        <v>57</v>
      </c>
      <c r="I9" s="346"/>
      <c r="J9" s="346"/>
      <c r="K9" s="346"/>
      <c r="L9" s="346"/>
      <c r="M9" s="347"/>
      <c r="N9" s="345" t="s">
        <v>58</v>
      </c>
      <c r="O9" s="346"/>
      <c r="P9" s="346"/>
      <c r="Q9" s="346"/>
      <c r="R9" s="347"/>
      <c r="S9" s="343" t="s">
        <v>118</v>
      </c>
      <c r="T9" s="343" t="s">
        <v>119</v>
      </c>
      <c r="U9" s="343" t="s">
        <v>120</v>
      </c>
      <c r="V9" s="343" t="s">
        <v>121</v>
      </c>
      <c r="W9" s="343" t="s">
        <v>122</v>
      </c>
    </row>
    <row r="10" spans="1:23" s="32" customFormat="1" ht="63.75">
      <c r="A10" s="344"/>
      <c r="B10" s="344"/>
      <c r="C10" s="344"/>
      <c r="D10" s="53" t="s">
        <v>59</v>
      </c>
      <c r="E10" s="53" t="s">
        <v>60</v>
      </c>
      <c r="F10" s="53" t="s">
        <v>123</v>
      </c>
      <c r="G10" s="53" t="s">
        <v>214</v>
      </c>
      <c r="H10" s="53" t="s">
        <v>61</v>
      </c>
      <c r="I10" s="53" t="s">
        <v>132</v>
      </c>
      <c r="J10" s="53" t="s">
        <v>124</v>
      </c>
      <c r="K10" s="53" t="s">
        <v>131</v>
      </c>
      <c r="L10" s="53" t="s">
        <v>130</v>
      </c>
      <c r="M10" s="53" t="s">
        <v>217</v>
      </c>
      <c r="N10" s="53" t="s">
        <v>63</v>
      </c>
      <c r="O10" s="53" t="s">
        <v>64</v>
      </c>
      <c r="P10" s="53" t="s">
        <v>129</v>
      </c>
      <c r="Q10" s="54" t="s">
        <v>125</v>
      </c>
      <c r="R10" s="53" t="s">
        <v>215</v>
      </c>
      <c r="S10" s="344"/>
      <c r="T10" s="344"/>
      <c r="U10" s="344"/>
      <c r="V10" s="344"/>
      <c r="W10" s="344"/>
    </row>
    <row r="11" spans="1:23" s="31" customFormat="1">
      <c r="A11" s="163" t="s">
        <v>117</v>
      </c>
      <c r="B11" s="163" t="s">
        <v>2</v>
      </c>
      <c r="C11" s="163" t="s">
        <v>3</v>
      </c>
      <c r="D11" s="163" t="s">
        <v>4</v>
      </c>
      <c r="E11" s="163" t="s">
        <v>19</v>
      </c>
      <c r="F11" s="163" t="s">
        <v>18</v>
      </c>
      <c r="G11" s="163" t="s">
        <v>17</v>
      </c>
      <c r="H11" s="163" t="s">
        <v>16</v>
      </c>
      <c r="I11" s="163" t="s">
        <v>5</v>
      </c>
      <c r="J11" s="163" t="s">
        <v>6</v>
      </c>
      <c r="K11" s="163" t="s">
        <v>15</v>
      </c>
      <c r="L11" s="163" t="s">
        <v>20</v>
      </c>
      <c r="M11" s="163" t="s">
        <v>126</v>
      </c>
      <c r="N11" s="163" t="s">
        <v>0</v>
      </c>
      <c r="O11" s="163" t="s">
        <v>14</v>
      </c>
      <c r="P11" s="163" t="s">
        <v>127</v>
      </c>
      <c r="Q11" s="163" t="s">
        <v>7</v>
      </c>
      <c r="R11" s="163" t="s">
        <v>8</v>
      </c>
      <c r="S11" s="163" t="s">
        <v>9</v>
      </c>
      <c r="T11" s="163" t="s">
        <v>10</v>
      </c>
      <c r="U11" s="163" t="s">
        <v>11</v>
      </c>
      <c r="V11" s="163" t="s">
        <v>13</v>
      </c>
      <c r="W11" s="163" t="s">
        <v>128</v>
      </c>
    </row>
    <row r="12" spans="1:23" s="31" customFormat="1">
      <c r="A12" s="1">
        <v>1</v>
      </c>
      <c r="B12" s="1" t="s">
        <v>66</v>
      </c>
      <c r="C12" s="80">
        <v>1</v>
      </c>
      <c r="D12" s="80">
        <v>1</v>
      </c>
      <c r="E12" s="171">
        <v>2083.3000000000002</v>
      </c>
      <c r="F12" s="171">
        <f>D12*E12</f>
        <v>2083.3000000000002</v>
      </c>
      <c r="G12" s="171">
        <f>F12*12/1000</f>
        <v>24.999600000000001</v>
      </c>
      <c r="H12" s="171">
        <v>2250</v>
      </c>
      <c r="I12" s="268">
        <f>H12*C12</f>
        <v>2250</v>
      </c>
      <c r="J12" s="171">
        <f>I12-D12*360</f>
        <v>1890</v>
      </c>
      <c r="K12" s="269">
        <f>+J12*5</f>
        <v>9450</v>
      </c>
      <c r="L12" s="171">
        <f>+K12</f>
        <v>9450</v>
      </c>
      <c r="M12" s="171">
        <f>L12*12/1000</f>
        <v>113.4</v>
      </c>
      <c r="N12" s="271">
        <v>10</v>
      </c>
      <c r="O12" s="271">
        <v>10</v>
      </c>
      <c r="P12" s="171">
        <f t="shared" ref="P12:P18" si="0">(N12+O12)*1000*C12</f>
        <v>20000</v>
      </c>
      <c r="Q12" s="171">
        <f>P12*20%</f>
        <v>4000</v>
      </c>
      <c r="R12" s="171">
        <f>(P12+Q12)*12/1000</f>
        <v>288</v>
      </c>
      <c r="S12" s="171">
        <f t="shared" ref="S12:S18" si="1">G12+M12+R12</f>
        <v>426.39960000000002</v>
      </c>
      <c r="T12" s="270"/>
      <c r="U12" s="270"/>
      <c r="V12" s="270"/>
      <c r="W12" s="270">
        <f>+(S12+T12+U12+V12)</f>
        <v>426.39960000000002</v>
      </c>
    </row>
    <row r="13" spans="1:23" s="31" customFormat="1">
      <c r="A13" s="1">
        <v>2</v>
      </c>
      <c r="B13" s="1" t="s">
        <v>81</v>
      </c>
      <c r="C13" s="261">
        <v>20</v>
      </c>
      <c r="D13" s="261">
        <v>20</v>
      </c>
      <c r="E13" s="171">
        <v>2083.3000000000002</v>
      </c>
      <c r="F13" s="171">
        <f t="shared" ref="F13:F18" si="2">D13*E13</f>
        <v>41666</v>
      </c>
      <c r="G13" s="171">
        <f t="shared" ref="G13:G18" si="3">F13*12/1000</f>
        <v>499.99200000000002</v>
      </c>
      <c r="H13" s="171">
        <v>1500</v>
      </c>
      <c r="I13" s="268">
        <f t="shared" ref="I13:I18" si="4">H13*C13</f>
        <v>30000</v>
      </c>
      <c r="J13" s="171">
        <f t="shared" ref="J13:J18" si="5">I13-D13*360</f>
        <v>22800</v>
      </c>
      <c r="K13" s="269">
        <f t="shared" ref="K13:K18" si="6">+J13*5</f>
        <v>114000</v>
      </c>
      <c r="L13" s="171">
        <f t="shared" ref="L13:L18" si="7">+K13</f>
        <v>114000</v>
      </c>
      <c r="M13" s="171">
        <f t="shared" ref="M13:M18" si="8">L13*12/1000</f>
        <v>1368</v>
      </c>
      <c r="N13" s="271">
        <v>7</v>
      </c>
      <c r="O13" s="271">
        <v>0</v>
      </c>
      <c r="P13" s="171">
        <f t="shared" si="0"/>
        <v>140000</v>
      </c>
      <c r="Q13" s="171">
        <f t="shared" ref="Q13:Q18" si="9">P13*20%</f>
        <v>28000</v>
      </c>
      <c r="R13" s="171">
        <f t="shared" ref="R13:R18" si="10">(P13+Q13)*12/1000</f>
        <v>2016</v>
      </c>
      <c r="S13" s="171">
        <f t="shared" si="1"/>
        <v>3883.9920000000002</v>
      </c>
      <c r="T13" s="270"/>
      <c r="U13" s="270"/>
      <c r="V13" s="270"/>
      <c r="W13" s="270">
        <f t="shared" ref="W13:W18" si="11">+(S13+T13+U13+V13)</f>
        <v>3883.9920000000002</v>
      </c>
    </row>
    <row r="14" spans="1:23" s="31" customFormat="1">
      <c r="A14" s="1">
        <v>3</v>
      </c>
      <c r="B14" s="1" t="s">
        <v>82</v>
      </c>
      <c r="C14" s="80">
        <v>1</v>
      </c>
      <c r="D14" s="80">
        <v>1</v>
      </c>
      <c r="E14" s="171">
        <v>2083.3000000000002</v>
      </c>
      <c r="F14" s="171">
        <f t="shared" si="2"/>
        <v>2083.3000000000002</v>
      </c>
      <c r="G14" s="171">
        <f t="shared" si="3"/>
        <v>24.999600000000001</v>
      </c>
      <c r="H14" s="171">
        <v>1750</v>
      </c>
      <c r="I14" s="268">
        <f t="shared" si="4"/>
        <v>1750</v>
      </c>
      <c r="J14" s="171">
        <f t="shared" si="5"/>
        <v>1390</v>
      </c>
      <c r="K14" s="269">
        <f t="shared" si="6"/>
        <v>6950</v>
      </c>
      <c r="L14" s="171">
        <f t="shared" si="7"/>
        <v>6950</v>
      </c>
      <c r="M14" s="171">
        <f t="shared" si="8"/>
        <v>83.4</v>
      </c>
      <c r="N14" s="271">
        <v>4</v>
      </c>
      <c r="O14" s="271">
        <v>0</v>
      </c>
      <c r="P14" s="171">
        <f t="shared" si="0"/>
        <v>4000</v>
      </c>
      <c r="Q14" s="171">
        <f t="shared" si="9"/>
        <v>800</v>
      </c>
      <c r="R14" s="171">
        <f t="shared" si="10"/>
        <v>57.6</v>
      </c>
      <c r="S14" s="171">
        <f t="shared" si="1"/>
        <v>165.99960000000002</v>
      </c>
      <c r="T14" s="270"/>
      <c r="U14" s="270"/>
      <c r="V14" s="270"/>
      <c r="W14" s="270">
        <f t="shared" si="11"/>
        <v>165.99960000000002</v>
      </c>
    </row>
    <row r="15" spans="1:23" s="31" customFormat="1">
      <c r="A15" s="1">
        <v>4</v>
      </c>
      <c r="B15" s="1" t="s">
        <v>69</v>
      </c>
      <c r="C15" s="80">
        <v>1</v>
      </c>
      <c r="D15" s="80">
        <v>1</v>
      </c>
      <c r="E15" s="171">
        <v>2083.3000000000002</v>
      </c>
      <c r="F15" s="171">
        <f t="shared" si="2"/>
        <v>2083.3000000000002</v>
      </c>
      <c r="G15" s="171">
        <f t="shared" si="3"/>
        <v>24.999600000000001</v>
      </c>
      <c r="H15" s="171">
        <v>1750</v>
      </c>
      <c r="I15" s="268">
        <f t="shared" si="4"/>
        <v>1750</v>
      </c>
      <c r="J15" s="171">
        <f t="shared" si="5"/>
        <v>1390</v>
      </c>
      <c r="K15" s="269">
        <f t="shared" si="6"/>
        <v>6950</v>
      </c>
      <c r="L15" s="171">
        <f t="shared" si="7"/>
        <v>6950</v>
      </c>
      <c r="M15" s="171">
        <f t="shared" si="8"/>
        <v>83.4</v>
      </c>
      <c r="N15" s="271">
        <v>5</v>
      </c>
      <c r="O15" s="271">
        <v>0</v>
      </c>
      <c r="P15" s="171">
        <f t="shared" si="0"/>
        <v>5000</v>
      </c>
      <c r="Q15" s="171">
        <f t="shared" si="9"/>
        <v>1000</v>
      </c>
      <c r="R15" s="171">
        <f t="shared" si="10"/>
        <v>72</v>
      </c>
      <c r="S15" s="171">
        <f t="shared" si="1"/>
        <v>180.39960000000002</v>
      </c>
      <c r="T15" s="270"/>
      <c r="U15" s="270"/>
      <c r="V15" s="270"/>
      <c r="W15" s="270">
        <f t="shared" si="11"/>
        <v>180.39960000000002</v>
      </c>
    </row>
    <row r="16" spans="1:23" s="31" customFormat="1">
      <c r="A16" s="1">
        <v>5</v>
      </c>
      <c r="B16" s="1" t="s">
        <v>70</v>
      </c>
      <c r="C16" s="80">
        <v>1</v>
      </c>
      <c r="D16" s="80">
        <v>1</v>
      </c>
      <c r="E16" s="171">
        <v>2083.3000000000002</v>
      </c>
      <c r="F16" s="171">
        <f t="shared" si="2"/>
        <v>2083.3000000000002</v>
      </c>
      <c r="G16" s="171">
        <f t="shared" si="3"/>
        <v>24.999600000000001</v>
      </c>
      <c r="H16" s="171">
        <v>1250</v>
      </c>
      <c r="I16" s="268">
        <f t="shared" si="4"/>
        <v>1250</v>
      </c>
      <c r="J16" s="171">
        <f t="shared" si="5"/>
        <v>890</v>
      </c>
      <c r="K16" s="269">
        <f t="shared" si="6"/>
        <v>4450</v>
      </c>
      <c r="L16" s="171">
        <f t="shared" si="7"/>
        <v>4450</v>
      </c>
      <c r="M16" s="171">
        <f t="shared" si="8"/>
        <v>53.4</v>
      </c>
      <c r="N16" s="271">
        <v>2</v>
      </c>
      <c r="O16" s="271">
        <v>0</v>
      </c>
      <c r="P16" s="171">
        <f t="shared" si="0"/>
        <v>2000</v>
      </c>
      <c r="Q16" s="171">
        <f t="shared" si="9"/>
        <v>400</v>
      </c>
      <c r="R16" s="171">
        <f t="shared" si="10"/>
        <v>28.8</v>
      </c>
      <c r="S16" s="171">
        <f t="shared" si="1"/>
        <v>107.19959999999999</v>
      </c>
      <c r="T16" s="270"/>
      <c r="U16" s="270"/>
      <c r="V16" s="270"/>
      <c r="W16" s="270">
        <f t="shared" si="11"/>
        <v>107.19959999999999</v>
      </c>
    </row>
    <row r="17" spans="1:23" s="31" customFormat="1">
      <c r="A17" s="1">
        <v>7</v>
      </c>
      <c r="B17" s="1" t="s">
        <v>83</v>
      </c>
      <c r="C17" s="85">
        <v>17</v>
      </c>
      <c r="D17" s="80">
        <v>1</v>
      </c>
      <c r="E17" s="171">
        <v>2083.3000000000002</v>
      </c>
      <c r="F17" s="171">
        <f t="shared" si="2"/>
        <v>2083.3000000000002</v>
      </c>
      <c r="G17" s="171">
        <f t="shared" si="3"/>
        <v>24.999600000000001</v>
      </c>
      <c r="H17" s="171">
        <v>360</v>
      </c>
      <c r="I17" s="268">
        <f>H17*D17</f>
        <v>360</v>
      </c>
      <c r="J17" s="171">
        <f t="shared" si="5"/>
        <v>0</v>
      </c>
      <c r="K17" s="269">
        <f t="shared" si="6"/>
        <v>0</v>
      </c>
      <c r="L17" s="171">
        <f t="shared" si="7"/>
        <v>0</v>
      </c>
      <c r="M17" s="171">
        <f t="shared" si="8"/>
        <v>0</v>
      </c>
      <c r="N17" s="271">
        <v>0</v>
      </c>
      <c r="O17" s="271">
        <v>0</v>
      </c>
      <c r="P17" s="171">
        <f t="shared" si="0"/>
        <v>0</v>
      </c>
      <c r="Q17" s="171">
        <f t="shared" si="9"/>
        <v>0</v>
      </c>
      <c r="R17" s="171">
        <f t="shared" si="10"/>
        <v>0</v>
      </c>
      <c r="S17" s="171">
        <f t="shared" si="1"/>
        <v>24.999600000000001</v>
      </c>
      <c r="T17" s="270"/>
      <c r="U17" s="270"/>
      <c r="V17" s="270"/>
      <c r="W17" s="270">
        <f t="shared" si="11"/>
        <v>24.999600000000001</v>
      </c>
    </row>
    <row r="18" spans="1:23" s="31" customFormat="1">
      <c r="A18" s="1">
        <v>8</v>
      </c>
      <c r="B18" s="33" t="s">
        <v>84</v>
      </c>
      <c r="C18" s="80">
        <v>67</v>
      </c>
      <c r="D18" s="85">
        <v>8</v>
      </c>
      <c r="E18" s="171">
        <v>2083.3000000000002</v>
      </c>
      <c r="F18" s="171">
        <f t="shared" si="2"/>
        <v>16666.400000000001</v>
      </c>
      <c r="G18" s="171">
        <f t="shared" si="3"/>
        <v>199.99680000000001</v>
      </c>
      <c r="H18" s="171">
        <v>100</v>
      </c>
      <c r="I18" s="268">
        <f t="shared" si="4"/>
        <v>6700</v>
      </c>
      <c r="J18" s="171">
        <f t="shared" si="5"/>
        <v>3820</v>
      </c>
      <c r="K18" s="269">
        <f t="shared" si="6"/>
        <v>19100</v>
      </c>
      <c r="L18" s="171">
        <f t="shared" si="7"/>
        <v>19100</v>
      </c>
      <c r="M18" s="171">
        <f t="shared" si="8"/>
        <v>229.2</v>
      </c>
      <c r="N18" s="271">
        <v>0.5</v>
      </c>
      <c r="O18" s="271">
        <v>0</v>
      </c>
      <c r="P18" s="171">
        <f t="shared" si="0"/>
        <v>33500</v>
      </c>
      <c r="Q18" s="171">
        <f t="shared" si="9"/>
        <v>6700</v>
      </c>
      <c r="R18" s="171">
        <f t="shared" si="10"/>
        <v>482.4</v>
      </c>
      <c r="S18" s="171">
        <f t="shared" si="1"/>
        <v>911.59680000000003</v>
      </c>
      <c r="T18" s="271"/>
      <c r="U18" s="271"/>
      <c r="V18" s="271"/>
      <c r="W18" s="270">
        <f t="shared" si="11"/>
        <v>911.59680000000003</v>
      </c>
    </row>
    <row r="19" spans="1:23" s="31" customFormat="1" ht="16.5">
      <c r="A19" s="34"/>
      <c r="B19" s="35" t="s">
        <v>85</v>
      </c>
      <c r="C19" s="36">
        <f>SUM(C12:C18)</f>
        <v>108</v>
      </c>
      <c r="D19" s="36">
        <f>SUM(D12:D18)</f>
        <v>33</v>
      </c>
      <c r="E19" s="272"/>
      <c r="F19" s="272">
        <f>SUM(F12:F18)</f>
        <v>68748.900000000023</v>
      </c>
      <c r="G19" s="272">
        <f>SUM(G12:G18)</f>
        <v>824.98680000000002</v>
      </c>
      <c r="H19" s="272"/>
      <c r="I19" s="272">
        <f>SUM(I12:I18)</f>
        <v>44060</v>
      </c>
      <c r="J19" s="272"/>
      <c r="K19" s="279"/>
      <c r="L19" s="272">
        <f>SUM(L12:L18)</f>
        <v>160900</v>
      </c>
      <c r="M19" s="272">
        <f>SUM(M12:M18)</f>
        <v>1930.8000000000004</v>
      </c>
      <c r="N19" s="272"/>
      <c r="O19" s="272"/>
      <c r="P19" s="272"/>
      <c r="Q19" s="272"/>
      <c r="R19" s="272">
        <f>SUM(R12:R18)</f>
        <v>2944.8</v>
      </c>
      <c r="S19" s="274">
        <f>(R19+M19+G19)</f>
        <v>5700.5868</v>
      </c>
      <c r="T19" s="280">
        <f>SUM(T10:T16)</f>
        <v>0</v>
      </c>
      <c r="U19" s="280">
        <f>SUM(U10:U16)</f>
        <v>0</v>
      </c>
      <c r="V19" s="280">
        <f>SUM(V10:V16)</f>
        <v>0</v>
      </c>
      <c r="W19" s="280">
        <f>SUM(W12:W18)</f>
        <v>5700.5868</v>
      </c>
    </row>
    <row r="20" spans="1:23" ht="14.25">
      <c r="E20" s="302"/>
      <c r="F20" s="302"/>
      <c r="G20" s="298">
        <f>G19</f>
        <v>824.98680000000002</v>
      </c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1">
        <f>(R19+M19)</f>
        <v>4875.6000000000004</v>
      </c>
      <c r="S20" s="302"/>
      <c r="T20" s="303"/>
      <c r="U20" s="303"/>
      <c r="V20" s="303"/>
      <c r="W20" s="303"/>
    </row>
    <row r="23" spans="1:23" ht="14.25">
      <c r="C23" s="341" t="s">
        <v>134</v>
      </c>
      <c r="D23" s="342"/>
      <c r="E23" s="56" t="s">
        <v>135</v>
      </c>
      <c r="F23" s="1" t="s">
        <v>136</v>
      </c>
      <c r="G23" s="1" t="s">
        <v>137</v>
      </c>
      <c r="H23" s="1" t="s">
        <v>138</v>
      </c>
      <c r="I23" s="1" t="s">
        <v>139</v>
      </c>
    </row>
    <row r="24" spans="1:23" ht="14.25">
      <c r="C24" s="348" t="s">
        <v>35</v>
      </c>
      <c r="D24" s="349"/>
      <c r="E24" s="267">
        <v>21</v>
      </c>
      <c r="F24" s="265">
        <v>66</v>
      </c>
      <c r="G24" s="265"/>
      <c r="H24" s="265">
        <v>21</v>
      </c>
      <c r="I24" s="34">
        <f>SUM(E24:H24)</f>
        <v>108</v>
      </c>
    </row>
    <row r="25" spans="1:23" ht="14.25">
      <c r="C25" s="59" t="s">
        <v>24</v>
      </c>
      <c r="D25" s="56"/>
      <c r="E25" s="60">
        <f>SUM(E24:E24)</f>
        <v>21</v>
      </c>
      <c r="F25" s="60">
        <f>SUM(F24:F24)</f>
        <v>66</v>
      </c>
      <c r="G25" s="60">
        <f>SUM(G24:G24)</f>
        <v>0</v>
      </c>
      <c r="H25" s="60">
        <f>SUM(H24:H24)</f>
        <v>21</v>
      </c>
      <c r="I25" s="60">
        <f>SUM(I24:I24)</f>
        <v>108</v>
      </c>
    </row>
    <row r="30" spans="1:23" ht="69" customHeight="1"/>
  </sheetData>
  <mergeCells count="17">
    <mergeCell ref="B1:F1"/>
    <mergeCell ref="A9:A10"/>
    <mergeCell ref="B9:B10"/>
    <mergeCell ref="C9:C10"/>
    <mergeCell ref="D9:G9"/>
    <mergeCell ref="Q2:S2"/>
    <mergeCell ref="C24:D24"/>
    <mergeCell ref="T9:T10"/>
    <mergeCell ref="U9:U10"/>
    <mergeCell ref="V9:V10"/>
    <mergeCell ref="A6:W6"/>
    <mergeCell ref="A5:W5"/>
    <mergeCell ref="W9:W10"/>
    <mergeCell ref="C23:D23"/>
    <mergeCell ref="H9:M9"/>
    <mergeCell ref="N9:R9"/>
    <mergeCell ref="S9:S10"/>
  </mergeCells>
  <pageMargins left="0.32" right="0.196850393700787" top="0.196850393700787" bottom="0.23622047244094499" header="0.34" footer="0.15748031496063"/>
  <pageSetup paperSize="9" scale="63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W29"/>
  <sheetViews>
    <sheetView zoomScaleNormal="100" workbookViewId="0">
      <selection activeCell="C19" sqref="C19"/>
    </sheetView>
  </sheetViews>
  <sheetFormatPr defaultColWidth="9.140625" defaultRowHeight="13.5"/>
  <cols>
    <col min="1" max="1" width="3.140625" style="295" bestFit="1" customWidth="1"/>
    <col min="2" max="2" width="21.42578125" style="125" customWidth="1"/>
    <col min="3" max="3" width="9.5703125" style="125" customWidth="1"/>
    <col min="4" max="4" width="6.28515625" style="125" bestFit="1" customWidth="1"/>
    <col min="5" max="5" width="9" style="125" bestFit="1" customWidth="1"/>
    <col min="6" max="6" width="8.85546875" style="125" bestFit="1" customWidth="1"/>
    <col min="7" max="7" width="12.28515625" style="125" bestFit="1" customWidth="1"/>
    <col min="8" max="8" width="9.140625" style="125" bestFit="1" customWidth="1"/>
    <col min="9" max="9" width="9.28515625" style="125" bestFit="1" customWidth="1"/>
    <col min="10" max="10" width="8.85546875" style="125" bestFit="1" customWidth="1"/>
    <col min="11" max="11" width="9.42578125" style="125" bestFit="1" customWidth="1"/>
    <col min="12" max="12" width="10.28515625" style="125" bestFit="1" customWidth="1"/>
    <col min="13" max="13" width="8" style="125" bestFit="1" customWidth="1"/>
    <col min="14" max="14" width="5.85546875" style="125" bestFit="1" customWidth="1"/>
    <col min="15" max="15" width="8.7109375" style="125" customWidth="1"/>
    <col min="16" max="16" width="9.7109375" style="125" bestFit="1" customWidth="1"/>
    <col min="17" max="17" width="8.85546875" style="125" bestFit="1" customWidth="1"/>
    <col min="18" max="18" width="12.28515625" style="125" bestFit="1" customWidth="1"/>
    <col min="19" max="19" width="9.7109375" style="125" bestFit="1" customWidth="1"/>
    <col min="20" max="20" width="9.140625" style="125"/>
    <col min="21" max="21" width="8.85546875" style="125" bestFit="1" customWidth="1"/>
    <col min="22" max="22" width="6.85546875" style="125" bestFit="1" customWidth="1"/>
    <col min="23" max="23" width="9" style="125" bestFit="1" customWidth="1"/>
    <col min="24" max="16384" width="9.140625" style="125"/>
  </cols>
  <sheetData>
    <row r="1" spans="1:23" s="7" customFormat="1" ht="23.25" customHeight="1">
      <c r="A1" s="296"/>
      <c r="B1" s="332"/>
      <c r="C1" s="333"/>
      <c r="D1" s="333"/>
      <c r="E1" s="333"/>
      <c r="F1" s="333"/>
      <c r="G1" s="22"/>
      <c r="H1" s="22"/>
      <c r="I1" s="5"/>
      <c r="J1" s="5"/>
      <c r="K1" s="5"/>
      <c r="L1" s="5"/>
      <c r="Q1" s="5"/>
      <c r="R1" s="162" t="s">
        <v>47</v>
      </c>
      <c r="S1" s="22"/>
    </row>
    <row r="2" spans="1:23" s="7" customFormat="1" ht="15" customHeight="1">
      <c r="A2" s="296"/>
      <c r="B2" s="164"/>
      <c r="C2" s="166"/>
      <c r="D2" s="166"/>
      <c r="E2" s="166"/>
      <c r="F2" s="22"/>
      <c r="G2" s="22"/>
      <c r="H2" s="22"/>
      <c r="I2" s="5"/>
      <c r="J2" s="5"/>
      <c r="K2" s="5"/>
      <c r="L2" s="5"/>
      <c r="Q2" s="314" t="s">
        <v>21</v>
      </c>
      <c r="R2" s="314"/>
      <c r="S2" s="314"/>
    </row>
    <row r="3" spans="1:23" s="7" customFormat="1" ht="28.5" thickBot="1">
      <c r="A3" s="292"/>
      <c r="B3" s="9" t="s">
        <v>65</v>
      </c>
      <c r="C3" s="23" t="s">
        <v>165</v>
      </c>
      <c r="D3" s="11"/>
      <c r="E3" s="11"/>
      <c r="F3" s="11"/>
      <c r="G3" s="24"/>
      <c r="H3" s="24"/>
      <c r="I3" s="5"/>
      <c r="J3" s="5"/>
      <c r="K3" s="5"/>
      <c r="L3" s="5"/>
    </row>
    <row r="4" spans="1:23" s="7" customFormat="1">
      <c r="A4" s="296"/>
      <c r="B4" s="22"/>
      <c r="C4" s="22"/>
      <c r="D4" s="25"/>
      <c r="E4" s="25"/>
      <c r="F4" s="22"/>
      <c r="G4" s="22"/>
      <c r="H4" s="22"/>
      <c r="I4" s="26"/>
      <c r="J4" s="5"/>
      <c r="K4" s="5"/>
      <c r="L4" s="5"/>
      <c r="M4" s="5"/>
    </row>
    <row r="5" spans="1:23" s="14" customFormat="1" ht="15" customHeight="1">
      <c r="A5" s="337" t="s">
        <v>22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</row>
    <row r="6" spans="1:23" s="14" customFormat="1" ht="15" customHeight="1">
      <c r="A6" s="337" t="s">
        <v>212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</row>
    <row r="7" spans="1:23" s="14" customFormat="1" ht="12.75">
      <c r="A7" s="291"/>
      <c r="B7" s="29"/>
      <c r="C7" s="29"/>
      <c r="D7" s="29"/>
      <c r="E7" s="29"/>
      <c r="F7" s="29"/>
      <c r="G7" s="29"/>
      <c r="H7" s="29"/>
      <c r="I7" s="6"/>
      <c r="J7" s="6"/>
      <c r="K7" s="6"/>
      <c r="L7" s="6"/>
      <c r="O7" s="6"/>
      <c r="P7" s="6"/>
    </row>
    <row r="8" spans="1:23" s="7" customFormat="1">
      <c r="A8" s="292"/>
      <c r="B8" s="30"/>
      <c r="C8" s="25"/>
      <c r="D8" s="25"/>
      <c r="E8" s="25"/>
      <c r="F8" s="25"/>
      <c r="G8" s="25"/>
      <c r="H8" s="25"/>
      <c r="I8" s="5"/>
    </row>
    <row r="9" spans="1:23" s="31" customFormat="1" ht="12.75" customHeight="1">
      <c r="A9" s="343" t="s">
        <v>0</v>
      </c>
      <c r="B9" s="343" t="s">
        <v>54</v>
      </c>
      <c r="C9" s="343" t="s">
        <v>55</v>
      </c>
      <c r="D9" s="345" t="s">
        <v>56</v>
      </c>
      <c r="E9" s="346"/>
      <c r="F9" s="346"/>
      <c r="G9" s="347"/>
      <c r="H9" s="345" t="s">
        <v>57</v>
      </c>
      <c r="I9" s="346"/>
      <c r="J9" s="346"/>
      <c r="K9" s="346"/>
      <c r="L9" s="346"/>
      <c r="M9" s="347"/>
      <c r="N9" s="345" t="s">
        <v>58</v>
      </c>
      <c r="O9" s="346"/>
      <c r="P9" s="346"/>
      <c r="Q9" s="346"/>
      <c r="R9" s="347"/>
      <c r="S9" s="343" t="s">
        <v>118</v>
      </c>
      <c r="T9" s="351" t="s">
        <v>119</v>
      </c>
      <c r="U9" s="351" t="s">
        <v>120</v>
      </c>
      <c r="V9" s="351" t="s">
        <v>121</v>
      </c>
      <c r="W9" s="351" t="s">
        <v>122</v>
      </c>
    </row>
    <row r="10" spans="1:23" s="32" customFormat="1" ht="63.75">
      <c r="A10" s="344"/>
      <c r="B10" s="344"/>
      <c r="C10" s="344"/>
      <c r="D10" s="53" t="s">
        <v>59</v>
      </c>
      <c r="E10" s="53" t="s">
        <v>60</v>
      </c>
      <c r="F10" s="53" t="s">
        <v>123</v>
      </c>
      <c r="G10" s="53" t="s">
        <v>214</v>
      </c>
      <c r="H10" s="53" t="s">
        <v>61</v>
      </c>
      <c r="I10" s="53" t="s">
        <v>132</v>
      </c>
      <c r="J10" s="53" t="s">
        <v>124</v>
      </c>
      <c r="K10" s="53" t="s">
        <v>131</v>
      </c>
      <c r="L10" s="53" t="s">
        <v>130</v>
      </c>
      <c r="M10" s="53" t="s">
        <v>217</v>
      </c>
      <c r="N10" s="53" t="s">
        <v>63</v>
      </c>
      <c r="O10" s="53" t="s">
        <v>64</v>
      </c>
      <c r="P10" s="53" t="s">
        <v>129</v>
      </c>
      <c r="Q10" s="54" t="s">
        <v>125</v>
      </c>
      <c r="R10" s="53" t="s">
        <v>215</v>
      </c>
      <c r="S10" s="344"/>
      <c r="T10" s="351"/>
      <c r="U10" s="351"/>
      <c r="V10" s="351"/>
      <c r="W10" s="351"/>
    </row>
    <row r="11" spans="1:23" s="31" customFormat="1">
      <c r="A11" s="293" t="s">
        <v>117</v>
      </c>
      <c r="B11" s="163" t="s">
        <v>2</v>
      </c>
      <c r="C11" s="163" t="s">
        <v>3</v>
      </c>
      <c r="D11" s="163" t="s">
        <v>4</v>
      </c>
      <c r="E11" s="163" t="s">
        <v>19</v>
      </c>
      <c r="F11" s="163" t="s">
        <v>18</v>
      </c>
      <c r="G11" s="163" t="s">
        <v>17</v>
      </c>
      <c r="H11" s="163" t="s">
        <v>16</v>
      </c>
      <c r="I11" s="163" t="s">
        <v>5</v>
      </c>
      <c r="J11" s="163" t="s">
        <v>6</v>
      </c>
      <c r="K11" s="163" t="s">
        <v>15</v>
      </c>
      <c r="L11" s="163" t="s">
        <v>20</v>
      </c>
      <c r="M11" s="163" t="s">
        <v>126</v>
      </c>
      <c r="N11" s="163" t="s">
        <v>0</v>
      </c>
      <c r="O11" s="163" t="s">
        <v>14</v>
      </c>
      <c r="P11" s="163" t="s">
        <v>127</v>
      </c>
      <c r="Q11" s="163" t="s">
        <v>7</v>
      </c>
      <c r="R11" s="163" t="s">
        <v>8</v>
      </c>
      <c r="S11" s="163" t="s">
        <v>9</v>
      </c>
      <c r="T11" s="195" t="s">
        <v>10</v>
      </c>
      <c r="U11" s="195" t="s">
        <v>11</v>
      </c>
      <c r="V11" s="195" t="s">
        <v>13</v>
      </c>
      <c r="W11" s="195" t="s">
        <v>128</v>
      </c>
    </row>
    <row r="12" spans="1:23" s="31" customFormat="1">
      <c r="A12" s="293">
        <v>1</v>
      </c>
      <c r="B12" s="1" t="s">
        <v>66</v>
      </c>
      <c r="C12" s="1">
        <v>2</v>
      </c>
      <c r="D12" s="1">
        <v>2</v>
      </c>
      <c r="E12" s="171">
        <v>2083.3000000000002</v>
      </c>
      <c r="F12" s="171">
        <f t="shared" ref="F12:F18" si="0">D12*E12</f>
        <v>4166.6000000000004</v>
      </c>
      <c r="G12" s="171">
        <f>F12*12/1000</f>
        <v>49.999200000000002</v>
      </c>
      <c r="H12" s="171">
        <v>2250</v>
      </c>
      <c r="I12" s="268">
        <f t="shared" ref="I12:I17" si="1">H12*C12</f>
        <v>4500</v>
      </c>
      <c r="J12" s="171">
        <f t="shared" ref="J12:J18" si="2">I12-D12*360</f>
        <v>3780</v>
      </c>
      <c r="K12" s="269">
        <f>+J12*5</f>
        <v>18900</v>
      </c>
      <c r="L12" s="171">
        <f>+K12</f>
        <v>18900</v>
      </c>
      <c r="M12" s="171">
        <f>L12*12/1000</f>
        <v>226.8</v>
      </c>
      <c r="N12" s="171">
        <v>10</v>
      </c>
      <c r="O12" s="171">
        <v>10</v>
      </c>
      <c r="P12" s="171">
        <f t="shared" ref="P12:P18" si="3">(N12+O12)*1000*C12</f>
        <v>40000</v>
      </c>
      <c r="Q12" s="171">
        <f>P12*20%</f>
        <v>8000</v>
      </c>
      <c r="R12" s="171">
        <f>(P12+Q12)*12/1000</f>
        <v>576</v>
      </c>
      <c r="S12" s="171">
        <f t="shared" ref="S12:S18" si="4">G12+M12+R12</f>
        <v>852.79920000000004</v>
      </c>
      <c r="T12" s="270"/>
      <c r="U12" s="270"/>
      <c r="V12" s="270"/>
      <c r="W12" s="270">
        <f>+(S12+T12+U12+V12)</f>
        <v>852.79920000000004</v>
      </c>
    </row>
    <row r="13" spans="1:23" s="31" customFormat="1">
      <c r="A13" s="293">
        <v>2</v>
      </c>
      <c r="B13" s="1" t="s">
        <v>67</v>
      </c>
      <c r="C13" s="1">
        <v>27</v>
      </c>
      <c r="D13" s="1">
        <v>32</v>
      </c>
      <c r="E13" s="171">
        <v>2083.3000000000002</v>
      </c>
      <c r="F13" s="171">
        <f t="shared" si="0"/>
        <v>66665.600000000006</v>
      </c>
      <c r="G13" s="171">
        <f t="shared" ref="G13:G18" si="5">F13*12/1000</f>
        <v>799.98720000000003</v>
      </c>
      <c r="H13" s="171">
        <v>1500</v>
      </c>
      <c r="I13" s="268">
        <f t="shared" si="1"/>
        <v>40500</v>
      </c>
      <c r="J13" s="171">
        <f t="shared" si="2"/>
        <v>28980</v>
      </c>
      <c r="K13" s="269">
        <f t="shared" ref="K13:K18" si="6">+J13*5</f>
        <v>144900</v>
      </c>
      <c r="L13" s="171">
        <f t="shared" ref="L13:L18" si="7">+K13</f>
        <v>144900</v>
      </c>
      <c r="M13" s="171">
        <f t="shared" ref="M13:M18" si="8">L13*12/1000</f>
        <v>1738.8</v>
      </c>
      <c r="N13" s="171">
        <v>7</v>
      </c>
      <c r="O13" s="171">
        <v>0</v>
      </c>
      <c r="P13" s="171">
        <f t="shared" si="3"/>
        <v>189000</v>
      </c>
      <c r="Q13" s="171">
        <f t="shared" ref="Q13:Q18" si="9">P13*20%</f>
        <v>37800</v>
      </c>
      <c r="R13" s="171">
        <f t="shared" ref="R13:R18" si="10">(P13+Q13)*12/1000</f>
        <v>2721.6</v>
      </c>
      <c r="S13" s="171">
        <f t="shared" si="4"/>
        <v>5260.3871999999992</v>
      </c>
      <c r="T13" s="270"/>
      <c r="U13" s="270"/>
      <c r="V13" s="270"/>
      <c r="W13" s="270">
        <f t="shared" ref="W13:W18" si="11">+(S13+T13+U13+V13)</f>
        <v>5260.3871999999992</v>
      </c>
    </row>
    <row r="14" spans="1:23" s="31" customFormat="1">
      <c r="A14" s="293">
        <v>3</v>
      </c>
      <c r="B14" s="1" t="s">
        <v>68</v>
      </c>
      <c r="C14" s="1">
        <v>2</v>
      </c>
      <c r="D14" s="1">
        <v>2</v>
      </c>
      <c r="E14" s="171">
        <v>2083.3000000000002</v>
      </c>
      <c r="F14" s="171">
        <f t="shared" si="0"/>
        <v>4166.6000000000004</v>
      </c>
      <c r="G14" s="171">
        <f t="shared" si="5"/>
        <v>49.999200000000002</v>
      </c>
      <c r="H14" s="171">
        <v>1750</v>
      </c>
      <c r="I14" s="268">
        <f t="shared" si="1"/>
        <v>3500</v>
      </c>
      <c r="J14" s="171">
        <f t="shared" si="2"/>
        <v>2780</v>
      </c>
      <c r="K14" s="269">
        <f t="shared" si="6"/>
        <v>13900</v>
      </c>
      <c r="L14" s="171">
        <f t="shared" si="7"/>
        <v>13900</v>
      </c>
      <c r="M14" s="171">
        <f t="shared" si="8"/>
        <v>166.8</v>
      </c>
      <c r="N14" s="171">
        <v>4</v>
      </c>
      <c r="O14" s="171">
        <v>0</v>
      </c>
      <c r="P14" s="171">
        <f t="shared" si="3"/>
        <v>8000</v>
      </c>
      <c r="Q14" s="171">
        <f t="shared" si="9"/>
        <v>1600</v>
      </c>
      <c r="R14" s="171">
        <f t="shared" si="10"/>
        <v>115.2</v>
      </c>
      <c r="S14" s="171">
        <f t="shared" si="4"/>
        <v>331.99920000000003</v>
      </c>
      <c r="T14" s="270"/>
      <c r="U14" s="270"/>
      <c r="V14" s="270"/>
      <c r="W14" s="270">
        <f t="shared" si="11"/>
        <v>331.99920000000003</v>
      </c>
    </row>
    <row r="15" spans="1:23" s="31" customFormat="1">
      <c r="A15" s="293">
        <v>4</v>
      </c>
      <c r="B15" s="1" t="s">
        <v>69</v>
      </c>
      <c r="C15" s="1">
        <v>2</v>
      </c>
      <c r="D15" s="1">
        <v>2</v>
      </c>
      <c r="E15" s="171">
        <v>2083.3000000000002</v>
      </c>
      <c r="F15" s="171">
        <f t="shared" si="0"/>
        <v>4166.6000000000004</v>
      </c>
      <c r="G15" s="171">
        <f t="shared" si="5"/>
        <v>49.999200000000002</v>
      </c>
      <c r="H15" s="171">
        <v>1750</v>
      </c>
      <c r="I15" s="268">
        <f t="shared" si="1"/>
        <v>3500</v>
      </c>
      <c r="J15" s="171">
        <f t="shared" si="2"/>
        <v>2780</v>
      </c>
      <c r="K15" s="269">
        <f t="shared" si="6"/>
        <v>13900</v>
      </c>
      <c r="L15" s="171">
        <f t="shared" si="7"/>
        <v>13900</v>
      </c>
      <c r="M15" s="171">
        <f t="shared" si="8"/>
        <v>166.8</v>
      </c>
      <c r="N15" s="171">
        <v>5</v>
      </c>
      <c r="O15" s="171">
        <v>0</v>
      </c>
      <c r="P15" s="171">
        <f t="shared" si="3"/>
        <v>10000</v>
      </c>
      <c r="Q15" s="171">
        <f t="shared" si="9"/>
        <v>2000</v>
      </c>
      <c r="R15" s="171">
        <f t="shared" si="10"/>
        <v>144</v>
      </c>
      <c r="S15" s="171">
        <f t="shared" si="4"/>
        <v>360.79920000000004</v>
      </c>
      <c r="T15" s="270"/>
      <c r="U15" s="270"/>
      <c r="V15" s="270"/>
      <c r="W15" s="270">
        <f t="shared" si="11"/>
        <v>360.79920000000004</v>
      </c>
    </row>
    <row r="16" spans="1:23" s="31" customFormat="1">
      <c r="A16" s="293">
        <v>5</v>
      </c>
      <c r="B16" s="1" t="s">
        <v>70</v>
      </c>
      <c r="C16" s="1">
        <v>2</v>
      </c>
      <c r="D16" s="1">
        <v>2</v>
      </c>
      <c r="E16" s="171">
        <v>2083.3000000000002</v>
      </c>
      <c r="F16" s="171">
        <f t="shared" si="0"/>
        <v>4166.6000000000004</v>
      </c>
      <c r="G16" s="171">
        <f t="shared" si="5"/>
        <v>49.999200000000002</v>
      </c>
      <c r="H16" s="171">
        <v>1250</v>
      </c>
      <c r="I16" s="268">
        <f t="shared" si="1"/>
        <v>2500</v>
      </c>
      <c r="J16" s="171">
        <f t="shared" si="2"/>
        <v>1780</v>
      </c>
      <c r="K16" s="269">
        <f t="shared" si="6"/>
        <v>8900</v>
      </c>
      <c r="L16" s="171">
        <f t="shared" si="7"/>
        <v>8900</v>
      </c>
      <c r="M16" s="171">
        <f t="shared" si="8"/>
        <v>106.8</v>
      </c>
      <c r="N16" s="171">
        <v>2</v>
      </c>
      <c r="O16" s="171">
        <v>0</v>
      </c>
      <c r="P16" s="171">
        <f t="shared" si="3"/>
        <v>4000</v>
      </c>
      <c r="Q16" s="171">
        <f t="shared" si="9"/>
        <v>800</v>
      </c>
      <c r="R16" s="171">
        <f t="shared" si="10"/>
        <v>57.6</v>
      </c>
      <c r="S16" s="171">
        <f t="shared" si="4"/>
        <v>214.39919999999998</v>
      </c>
      <c r="T16" s="270"/>
      <c r="U16" s="270"/>
      <c r="V16" s="270"/>
      <c r="W16" s="270">
        <f t="shared" si="11"/>
        <v>214.39919999999998</v>
      </c>
    </row>
    <row r="17" spans="1:23" s="31" customFormat="1">
      <c r="A17" s="293">
        <v>7</v>
      </c>
      <c r="B17" s="33" t="s">
        <v>73</v>
      </c>
      <c r="C17" s="1">
        <v>101</v>
      </c>
      <c r="D17" s="1">
        <v>3</v>
      </c>
      <c r="E17" s="171">
        <v>2083.3000000000002</v>
      </c>
      <c r="F17" s="171">
        <f>D17*E17</f>
        <v>6249.9000000000005</v>
      </c>
      <c r="G17" s="171">
        <f t="shared" si="5"/>
        <v>74.998800000000003</v>
      </c>
      <c r="H17" s="171">
        <v>100</v>
      </c>
      <c r="I17" s="268">
        <f t="shared" si="1"/>
        <v>10100</v>
      </c>
      <c r="J17" s="171">
        <f t="shared" si="2"/>
        <v>9020</v>
      </c>
      <c r="K17" s="269">
        <f t="shared" si="6"/>
        <v>45100</v>
      </c>
      <c r="L17" s="171">
        <f t="shared" si="7"/>
        <v>45100</v>
      </c>
      <c r="M17" s="171">
        <f t="shared" si="8"/>
        <v>541.20000000000005</v>
      </c>
      <c r="N17" s="171">
        <v>0.5</v>
      </c>
      <c r="O17" s="171">
        <v>0</v>
      </c>
      <c r="P17" s="171">
        <f t="shared" si="3"/>
        <v>50500</v>
      </c>
      <c r="Q17" s="171">
        <f>P17*20%</f>
        <v>10100</v>
      </c>
      <c r="R17" s="171">
        <f t="shared" si="10"/>
        <v>727.2</v>
      </c>
      <c r="S17" s="171">
        <f t="shared" si="4"/>
        <v>1343.3987999999999</v>
      </c>
      <c r="T17" s="270"/>
      <c r="U17" s="270"/>
      <c r="V17" s="270"/>
      <c r="W17" s="270">
        <f t="shared" si="11"/>
        <v>1343.3987999999999</v>
      </c>
    </row>
    <row r="18" spans="1:23" s="31" customFormat="1">
      <c r="A18" s="293">
        <v>8</v>
      </c>
      <c r="B18" s="1" t="s">
        <v>83</v>
      </c>
      <c r="C18" s="2">
        <v>36</v>
      </c>
      <c r="D18" s="2">
        <v>1</v>
      </c>
      <c r="E18" s="171">
        <v>2083.3000000000002</v>
      </c>
      <c r="F18" s="171">
        <f t="shared" si="0"/>
        <v>2083.3000000000002</v>
      </c>
      <c r="G18" s="171">
        <f t="shared" si="5"/>
        <v>24.999600000000001</v>
      </c>
      <c r="H18" s="171">
        <v>360</v>
      </c>
      <c r="I18" s="268">
        <f>H18*D18</f>
        <v>360</v>
      </c>
      <c r="J18" s="171">
        <f t="shared" si="2"/>
        <v>0</v>
      </c>
      <c r="K18" s="269">
        <f t="shared" si="6"/>
        <v>0</v>
      </c>
      <c r="L18" s="171">
        <f t="shared" si="7"/>
        <v>0</v>
      </c>
      <c r="M18" s="171">
        <f t="shared" si="8"/>
        <v>0</v>
      </c>
      <c r="N18" s="171">
        <v>0</v>
      </c>
      <c r="O18" s="171">
        <v>0</v>
      </c>
      <c r="P18" s="171">
        <f t="shared" si="3"/>
        <v>0</v>
      </c>
      <c r="Q18" s="171">
        <f t="shared" si="9"/>
        <v>0</v>
      </c>
      <c r="R18" s="171">
        <f t="shared" si="10"/>
        <v>0</v>
      </c>
      <c r="S18" s="171">
        <f t="shared" si="4"/>
        <v>24.999600000000001</v>
      </c>
      <c r="T18" s="271"/>
      <c r="U18" s="271"/>
      <c r="V18" s="271"/>
      <c r="W18" s="270">
        <f t="shared" si="11"/>
        <v>24.999600000000001</v>
      </c>
    </row>
    <row r="19" spans="1:23" s="31" customFormat="1" ht="16.5">
      <c r="A19" s="297"/>
      <c r="B19" s="35" t="s">
        <v>24</v>
      </c>
      <c r="C19" s="36">
        <f>SUM(C12:C18)</f>
        <v>172</v>
      </c>
      <c r="D19" s="36">
        <f>SUM(D12:D18)</f>
        <v>44</v>
      </c>
      <c r="E19" s="272"/>
      <c r="F19" s="272">
        <f>SUM(F12:F18)</f>
        <v>91665.200000000026</v>
      </c>
      <c r="G19" s="272">
        <f>SUM(G12:G18)</f>
        <v>1099.9824000000001</v>
      </c>
      <c r="H19" s="272"/>
      <c r="I19" s="272">
        <f>SUM(I12:I18)</f>
        <v>64960</v>
      </c>
      <c r="J19" s="272"/>
      <c r="K19" s="273"/>
      <c r="L19" s="272">
        <f>SUM(L12:L18)</f>
        <v>245600</v>
      </c>
      <c r="M19" s="272">
        <f>SUM(M12:M18)</f>
        <v>2947.2000000000007</v>
      </c>
      <c r="N19" s="272"/>
      <c r="O19" s="272"/>
      <c r="P19" s="272"/>
      <c r="Q19" s="272"/>
      <c r="R19" s="272">
        <f>SUM(R12:R18)</f>
        <v>4341.5999999999995</v>
      </c>
      <c r="S19" s="274">
        <f>(R19+M19+G19)</f>
        <v>8388.7824000000001</v>
      </c>
      <c r="T19" s="272">
        <f>SUM(T10:T16)</f>
        <v>0</v>
      </c>
      <c r="U19" s="272">
        <f>SUM(U10:U16)</f>
        <v>0</v>
      </c>
      <c r="V19" s="272">
        <f>SUM(V10:V16)</f>
        <v>0</v>
      </c>
      <c r="W19" s="272">
        <f>SUM(W12:W18)</f>
        <v>8388.7824000000001</v>
      </c>
    </row>
    <row r="20" spans="1:23" s="55" customFormat="1">
      <c r="A20" s="294"/>
      <c r="B20" s="120"/>
      <c r="C20" s="121"/>
      <c r="D20" s="121"/>
      <c r="E20" s="121"/>
      <c r="F20" s="121"/>
      <c r="G20" s="298">
        <f>G19</f>
        <v>1099.9824000000001</v>
      </c>
      <c r="H20" s="121"/>
      <c r="I20" s="119"/>
      <c r="R20" s="301">
        <f>(R19+M19)</f>
        <v>7288.8</v>
      </c>
    </row>
    <row r="21" spans="1:23" s="55" customFormat="1">
      <c r="A21" s="294"/>
      <c r="B21" s="120"/>
      <c r="C21" s="121"/>
      <c r="D21" s="121"/>
      <c r="E21" s="121"/>
      <c r="F21" s="121"/>
      <c r="G21" s="121"/>
      <c r="H21" s="121"/>
      <c r="I21" s="119"/>
    </row>
    <row r="25" spans="1:23">
      <c r="A25" s="352" t="s">
        <v>133</v>
      </c>
      <c r="B25" s="352"/>
      <c r="C25" s="352"/>
      <c r="D25" s="352"/>
      <c r="E25" s="352"/>
      <c r="F25" s="352"/>
      <c r="G25" s="352"/>
      <c r="H25" s="352"/>
    </row>
    <row r="26" spans="1:23" s="55" customFormat="1">
      <c r="A26" s="300" t="s">
        <v>134</v>
      </c>
      <c r="B26" s="126"/>
      <c r="C26" s="56"/>
      <c r="D26" s="163" t="s">
        <v>135</v>
      </c>
      <c r="E26" s="163" t="s">
        <v>136</v>
      </c>
      <c r="F26" s="163" t="s">
        <v>137</v>
      </c>
      <c r="G26" s="163" t="s">
        <v>138</v>
      </c>
      <c r="H26" s="163" t="s">
        <v>139</v>
      </c>
      <c r="I26" s="125"/>
    </row>
    <row r="27" spans="1:23" ht="14.25">
      <c r="A27" s="348" t="s">
        <v>188</v>
      </c>
      <c r="B27" s="350"/>
      <c r="C27" s="349"/>
      <c r="D27" s="1">
        <v>13</v>
      </c>
      <c r="E27" s="1">
        <v>43</v>
      </c>
      <c r="F27" s="1"/>
      <c r="G27" s="1">
        <v>34</v>
      </c>
      <c r="H27" s="34">
        <f>SUM(D27:G27)</f>
        <v>90</v>
      </c>
    </row>
    <row r="28" spans="1:23" ht="14.25">
      <c r="A28" s="348" t="s">
        <v>191</v>
      </c>
      <c r="B28" s="350"/>
      <c r="C28" s="349"/>
      <c r="D28" s="1">
        <v>16</v>
      </c>
      <c r="E28" s="1">
        <v>66</v>
      </c>
      <c r="F28" s="1"/>
      <c r="G28" s="1"/>
      <c r="H28" s="34">
        <f>SUM(D28:G28)</f>
        <v>82</v>
      </c>
    </row>
    <row r="29" spans="1:23" ht="14.25">
      <c r="A29" s="297" t="s">
        <v>24</v>
      </c>
      <c r="B29" s="126"/>
      <c r="C29" s="56"/>
      <c r="D29" s="34">
        <f>SUM(D27:D28)</f>
        <v>29</v>
      </c>
      <c r="E29" s="34">
        <f t="shared" ref="E29:H29" si="12">SUM(E27:E28)</f>
        <v>109</v>
      </c>
      <c r="F29" s="34">
        <f t="shared" si="12"/>
        <v>0</v>
      </c>
      <c r="G29" s="34">
        <f t="shared" si="12"/>
        <v>34</v>
      </c>
      <c r="H29" s="34">
        <f t="shared" si="12"/>
        <v>172</v>
      </c>
    </row>
  </sheetData>
  <mergeCells count="18">
    <mergeCell ref="B1:F1"/>
    <mergeCell ref="S9:S10"/>
    <mergeCell ref="Q2:S2"/>
    <mergeCell ref="A9:A10"/>
    <mergeCell ref="B9:B10"/>
    <mergeCell ref="A6:W6"/>
    <mergeCell ref="A5:W5"/>
    <mergeCell ref="C9:C10"/>
    <mergeCell ref="D9:G9"/>
    <mergeCell ref="H9:M9"/>
    <mergeCell ref="N9:R9"/>
    <mergeCell ref="T9:T10"/>
    <mergeCell ref="A28:C28"/>
    <mergeCell ref="U9:U10"/>
    <mergeCell ref="V9:V10"/>
    <mergeCell ref="W9:W10"/>
    <mergeCell ref="A27:C27"/>
    <mergeCell ref="A25:H25"/>
  </mergeCells>
  <pageMargins left="0.56999999999999995" right="0.196850393700787" top="0.59055118110236204" bottom="0.59055118110236204" header="0.31496062992126" footer="0.31496062992126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5</vt:i4>
      </vt:variant>
    </vt:vector>
  </HeadingPairs>
  <TitlesOfParts>
    <vt:vector size="30" baseType="lpstr">
      <vt:lpstr>ampop 1-4</vt:lpstr>
      <vt:lpstr>5. դատ.դեպ-փոստային</vt:lpstr>
      <vt:lpstr>Փոստ փաստ 2017-2019</vt:lpstr>
      <vt:lpstr>2.Internet</vt:lpstr>
      <vt:lpstr>BDX&amp;kargadrich</vt:lpstr>
      <vt:lpstr>Vchr</vt:lpstr>
      <vt:lpstr>Ver.Qax</vt:lpstr>
      <vt:lpstr>Ver.qr.</vt:lpstr>
      <vt:lpstr>Ver.varch</vt:lpstr>
      <vt:lpstr>Varch.</vt:lpstr>
      <vt:lpstr>Arag</vt:lpstr>
      <vt:lpstr>Ararat</vt:lpstr>
      <vt:lpstr>Armav.</vt:lpstr>
      <vt:lpstr>Gex.</vt:lpstr>
      <vt:lpstr>Lori</vt:lpstr>
      <vt:lpstr>Kot</vt:lpstr>
      <vt:lpstr>Shir.</vt:lpstr>
      <vt:lpstr>Syun.</vt:lpstr>
      <vt:lpstr>Tav.</vt:lpstr>
      <vt:lpstr>Snank</vt:lpstr>
      <vt:lpstr>Ver.hakakorupcion</vt:lpstr>
      <vt:lpstr>Yerevan qax</vt:lpstr>
      <vt:lpstr>Yerevan qr</vt:lpstr>
      <vt:lpstr>Hastiqi ampop</vt:lpstr>
      <vt:lpstr>hamematakan 2018-2019</vt:lpstr>
      <vt:lpstr>'2.Internet'!Print_Area</vt:lpstr>
      <vt:lpstr>'5. դատ.դեպ-փոստային'!Print_Area</vt:lpstr>
      <vt:lpstr>'ampop 1-4'!Print_Area</vt:lpstr>
      <vt:lpstr>'BDX&amp;kargadrich'!Print_Area</vt:lpstr>
      <vt:lpstr>'hamematakan 2018-2019'!Print_Area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2025-02-21T12:47:57Z</dcterms:modified>
</cp:coreProperties>
</file>