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325" windowHeight="11820" firstSheet="25" activeTab="25"/>
  </bookViews>
  <sheets>
    <sheet name="ampop" sheetId="1" r:id="rId1"/>
    <sheet name="BDX" sheetId="4" r:id="rId2"/>
    <sheet name="Kargadrich" sheetId="32" r:id="rId3"/>
    <sheet name="vchrabek" sheetId="5" r:id="rId4"/>
    <sheet name="v.qax" sheetId="6" r:id="rId5"/>
    <sheet name="v.qr" sheetId="7" r:id="rId6"/>
    <sheet name="varchakan" sheetId="24" r:id="rId7"/>
    <sheet name="erebuny" sheetId="8" state="hidden" r:id="rId8"/>
    <sheet name="kentron" sheetId="9" state="hidden" r:id="rId9"/>
    <sheet name="ajapnyak" sheetId="10" state="hidden" r:id="rId10"/>
    <sheet name="avan" sheetId="11" state="hidden" r:id="rId11"/>
    <sheet name="arabkir" sheetId="12" state="hidden" r:id="rId12"/>
    <sheet name="shengavit" sheetId="13" state="hidden" r:id="rId13"/>
    <sheet name="malatia" sheetId="14" state="hidden" r:id="rId14"/>
    <sheet name="aragac" sheetId="15" r:id="rId15"/>
    <sheet name="ararat" sheetId="16" r:id="rId16"/>
    <sheet name="armavir" sheetId="17" r:id="rId17"/>
    <sheet name="gexarquniq" sheetId="18" r:id="rId18"/>
    <sheet name="lori" sheetId="19" r:id="rId19"/>
    <sheet name="kotayq" sheetId="20" r:id="rId20"/>
    <sheet name="shirak" sheetId="21" r:id="rId21"/>
    <sheet name="Syuniq" sheetId="22" r:id="rId22"/>
    <sheet name="tavush" sheetId="23" r:id="rId23"/>
    <sheet name="Sheet1" sheetId="28" state="hidden" r:id="rId24"/>
    <sheet name="snankutyan" sheetId="29" r:id="rId25"/>
    <sheet name="Ver.Hakakorupcion" sheetId="35" r:id="rId26"/>
    <sheet name="Yerevan qax" sheetId="27" r:id="rId27"/>
    <sheet name="Yerevan qr" sheetId="33" r:id="rId28"/>
    <sheet name="Sheet2" sheetId="30" r:id="rId29"/>
  </sheets>
  <externalReferences>
    <externalReference r:id="rId30"/>
    <externalReference r:id="rId31"/>
    <externalReference r:id="rId32"/>
    <externalReference r:id="rId33"/>
  </externalReferences>
  <definedNames>
    <definedName name="__prt1111" localSheetId="2">#REF!</definedName>
    <definedName name="__prt1111" localSheetId="25">#REF!</definedName>
    <definedName name="__prt1111" localSheetId="27">#REF!</definedName>
    <definedName name="__prt1111">#REF!</definedName>
    <definedName name="__prt1114" localSheetId="2">#REF!</definedName>
    <definedName name="__prt1114" localSheetId="25">#REF!</definedName>
    <definedName name="__prt1114" localSheetId="27">#REF!</definedName>
    <definedName name="__prt1114">#REF!</definedName>
    <definedName name="__prt11141" localSheetId="2">#REF!</definedName>
    <definedName name="__prt11141" localSheetId="25">#REF!</definedName>
    <definedName name="__prt11141" localSheetId="27">#REF!</definedName>
    <definedName name="__prt11141">#REF!</definedName>
    <definedName name="__prt11142" localSheetId="2">#REF!</definedName>
    <definedName name="__prt11142" localSheetId="25">#REF!</definedName>
    <definedName name="__prt11142" localSheetId="27">#REF!</definedName>
    <definedName name="__prt11142">#REF!</definedName>
    <definedName name="__prt1115" localSheetId="2">#REF!</definedName>
    <definedName name="__prt1115" localSheetId="25">#REF!</definedName>
    <definedName name="__prt1115" localSheetId="27">#REF!</definedName>
    <definedName name="__prt1115">#REF!</definedName>
    <definedName name="__prt1116" localSheetId="2">#REF!</definedName>
    <definedName name="__prt1116" localSheetId="25">#REF!</definedName>
    <definedName name="__prt1116" localSheetId="27">#REF!</definedName>
    <definedName name="__prt1116">#REF!</definedName>
    <definedName name="__prt1214" localSheetId="2">#REF!</definedName>
    <definedName name="__prt1214" localSheetId="25">#REF!</definedName>
    <definedName name="__prt1214" localSheetId="27">#REF!</definedName>
    <definedName name="__prt1214">#REF!</definedName>
    <definedName name="__prt12141" localSheetId="2">#REF!</definedName>
    <definedName name="__prt12141" localSheetId="25">#REF!</definedName>
    <definedName name="__prt12141" localSheetId="27">#REF!</definedName>
    <definedName name="__prt12141">#REF!</definedName>
    <definedName name="__prt1311" localSheetId="2">#REF!</definedName>
    <definedName name="__prt1311" localSheetId="25">#REF!</definedName>
    <definedName name="__prt1311" localSheetId="27">#REF!</definedName>
    <definedName name="__prt1311">#REF!</definedName>
    <definedName name="__prt1313" localSheetId="2">#REF!</definedName>
    <definedName name="__prt1313" localSheetId="25">#REF!</definedName>
    <definedName name="__prt1313" localSheetId="27">#REF!</definedName>
    <definedName name="__prt1313">#REF!</definedName>
    <definedName name="__prt1314" localSheetId="2">#REF!</definedName>
    <definedName name="__prt1314" localSheetId="25">#REF!</definedName>
    <definedName name="__prt1314" localSheetId="27">#REF!</definedName>
    <definedName name="__prt1314">#REF!</definedName>
    <definedName name="__prt1315" localSheetId="2">#REF!</definedName>
    <definedName name="__prt1315" localSheetId="25">#REF!</definedName>
    <definedName name="__prt1315" localSheetId="27">#REF!</definedName>
    <definedName name="__prt1315">#REF!</definedName>
    <definedName name="__prt1317" localSheetId="2">#REF!</definedName>
    <definedName name="__prt1317" localSheetId="25">#REF!</definedName>
    <definedName name="__prt1317" localSheetId="27">#REF!</definedName>
    <definedName name="__prt1317">#REF!</definedName>
    <definedName name="_1" localSheetId="9">#REF!</definedName>
    <definedName name="_1" localSheetId="11">#REF!</definedName>
    <definedName name="_1" localSheetId="14">#REF!</definedName>
    <definedName name="_1" localSheetId="15">#REF!</definedName>
    <definedName name="_1" localSheetId="16">#REF!</definedName>
    <definedName name="_1" localSheetId="10">#REF!</definedName>
    <definedName name="_1" localSheetId="7">#REF!</definedName>
    <definedName name="_1" localSheetId="17">#REF!</definedName>
    <definedName name="_1" localSheetId="2">#REF!</definedName>
    <definedName name="_1" localSheetId="8">#REF!</definedName>
    <definedName name="_1" localSheetId="19">#REF!</definedName>
    <definedName name="_1" localSheetId="18">#REF!</definedName>
    <definedName name="_1" localSheetId="13">#REF!</definedName>
    <definedName name="_1" localSheetId="12">#REF!</definedName>
    <definedName name="_1" localSheetId="20">#REF!</definedName>
    <definedName name="_1" localSheetId="21">#REF!</definedName>
    <definedName name="_1" localSheetId="22">#REF!</definedName>
    <definedName name="_1" localSheetId="4">#REF!</definedName>
    <definedName name="_1" localSheetId="5">#REF!</definedName>
    <definedName name="_1" localSheetId="6">#REF!</definedName>
    <definedName name="_1" localSheetId="3">#REF!</definedName>
    <definedName name="_1" localSheetId="25">#REF!</definedName>
    <definedName name="_1" localSheetId="27">#REF!</definedName>
    <definedName name="_1">#REF!</definedName>
    <definedName name="_prt1111" localSheetId="9">#REF!</definedName>
    <definedName name="_prt1111" localSheetId="11">#REF!</definedName>
    <definedName name="_prt1111" localSheetId="14">#REF!</definedName>
    <definedName name="_prt1111" localSheetId="15">#REF!</definedName>
    <definedName name="_prt1111" localSheetId="16">#REF!</definedName>
    <definedName name="_prt1111" localSheetId="10">#REF!</definedName>
    <definedName name="_prt1111" localSheetId="7">#REF!</definedName>
    <definedName name="_prt1111" localSheetId="17">#REF!</definedName>
    <definedName name="_prt1111" localSheetId="2">#REF!</definedName>
    <definedName name="_prt1111" localSheetId="8">#REF!</definedName>
    <definedName name="_prt1111" localSheetId="19">#REF!</definedName>
    <definedName name="_prt1111" localSheetId="18">#REF!</definedName>
    <definedName name="_prt1111" localSheetId="13">#REF!</definedName>
    <definedName name="_prt1111" localSheetId="12">#REF!</definedName>
    <definedName name="_prt1111" localSheetId="20">#REF!</definedName>
    <definedName name="_prt1111" localSheetId="21">#REF!</definedName>
    <definedName name="_prt1111" localSheetId="22">#REF!</definedName>
    <definedName name="_prt1111" localSheetId="4">#REF!</definedName>
    <definedName name="_prt1111" localSheetId="5">#REF!</definedName>
    <definedName name="_prt1111" localSheetId="6">#REF!</definedName>
    <definedName name="_prt1111" localSheetId="3">#REF!</definedName>
    <definedName name="_prt1111" localSheetId="25">#REF!</definedName>
    <definedName name="_prt1111" localSheetId="27">#REF!</definedName>
    <definedName name="_prt1111">#REF!</definedName>
    <definedName name="_prt1114" localSheetId="9">#REF!</definedName>
    <definedName name="_prt1114" localSheetId="11">#REF!</definedName>
    <definedName name="_prt1114" localSheetId="14">#REF!</definedName>
    <definedName name="_prt1114" localSheetId="15">#REF!</definedName>
    <definedName name="_prt1114" localSheetId="16">#REF!</definedName>
    <definedName name="_prt1114" localSheetId="10">#REF!</definedName>
    <definedName name="_prt1114" localSheetId="7">#REF!</definedName>
    <definedName name="_prt1114" localSheetId="17">#REF!</definedName>
    <definedName name="_prt1114" localSheetId="2">#REF!</definedName>
    <definedName name="_prt1114" localSheetId="8">#REF!</definedName>
    <definedName name="_prt1114" localSheetId="19">#REF!</definedName>
    <definedName name="_prt1114" localSheetId="18">#REF!</definedName>
    <definedName name="_prt1114" localSheetId="13">#REF!</definedName>
    <definedName name="_prt1114" localSheetId="12">#REF!</definedName>
    <definedName name="_prt1114" localSheetId="20">#REF!</definedName>
    <definedName name="_prt1114" localSheetId="21">#REF!</definedName>
    <definedName name="_prt1114" localSheetId="22">#REF!</definedName>
    <definedName name="_prt1114" localSheetId="4">#REF!</definedName>
    <definedName name="_prt1114" localSheetId="5">#REF!</definedName>
    <definedName name="_prt1114" localSheetId="6">#REF!</definedName>
    <definedName name="_prt1114" localSheetId="3">#REF!</definedName>
    <definedName name="_prt1114" localSheetId="25">#REF!</definedName>
    <definedName name="_prt1114" localSheetId="27">#REF!</definedName>
    <definedName name="_prt1114">#REF!</definedName>
    <definedName name="_prt11141" localSheetId="9">#REF!</definedName>
    <definedName name="_prt11141" localSheetId="11">#REF!</definedName>
    <definedName name="_prt11141" localSheetId="14">#REF!</definedName>
    <definedName name="_prt11141" localSheetId="15">#REF!</definedName>
    <definedName name="_prt11141" localSheetId="16">#REF!</definedName>
    <definedName name="_prt11141" localSheetId="10">#REF!</definedName>
    <definedName name="_prt11141" localSheetId="7">#REF!</definedName>
    <definedName name="_prt11141" localSheetId="17">#REF!</definedName>
    <definedName name="_prt11141" localSheetId="2">#REF!</definedName>
    <definedName name="_prt11141" localSheetId="8">#REF!</definedName>
    <definedName name="_prt11141" localSheetId="19">#REF!</definedName>
    <definedName name="_prt11141" localSheetId="18">#REF!</definedName>
    <definedName name="_prt11141" localSheetId="13">#REF!</definedName>
    <definedName name="_prt11141" localSheetId="12">#REF!</definedName>
    <definedName name="_prt11141" localSheetId="20">#REF!</definedName>
    <definedName name="_prt11141" localSheetId="21">#REF!</definedName>
    <definedName name="_prt11141" localSheetId="22">#REF!</definedName>
    <definedName name="_prt11141" localSheetId="4">#REF!</definedName>
    <definedName name="_prt11141" localSheetId="5">#REF!</definedName>
    <definedName name="_prt11141" localSheetId="6">#REF!</definedName>
    <definedName name="_prt11141" localSheetId="3">#REF!</definedName>
    <definedName name="_prt11141" localSheetId="25">#REF!</definedName>
    <definedName name="_prt11141" localSheetId="27">#REF!</definedName>
    <definedName name="_prt11141">#REF!</definedName>
    <definedName name="_prt11142" localSheetId="9">#REF!</definedName>
    <definedName name="_prt11142" localSheetId="11">#REF!</definedName>
    <definedName name="_prt11142" localSheetId="14">#REF!</definedName>
    <definedName name="_prt11142" localSheetId="15">#REF!</definedName>
    <definedName name="_prt11142" localSheetId="16">#REF!</definedName>
    <definedName name="_prt11142" localSheetId="10">#REF!</definedName>
    <definedName name="_prt11142" localSheetId="7">#REF!</definedName>
    <definedName name="_prt11142" localSheetId="17">#REF!</definedName>
    <definedName name="_prt11142" localSheetId="2">#REF!</definedName>
    <definedName name="_prt11142" localSheetId="8">#REF!</definedName>
    <definedName name="_prt11142" localSheetId="19">#REF!</definedName>
    <definedName name="_prt11142" localSheetId="18">#REF!</definedName>
    <definedName name="_prt11142" localSheetId="13">#REF!</definedName>
    <definedName name="_prt11142" localSheetId="12">#REF!</definedName>
    <definedName name="_prt11142" localSheetId="20">#REF!</definedName>
    <definedName name="_prt11142" localSheetId="21">#REF!</definedName>
    <definedName name="_prt11142" localSheetId="22">#REF!</definedName>
    <definedName name="_prt11142" localSheetId="4">#REF!</definedName>
    <definedName name="_prt11142" localSheetId="5">#REF!</definedName>
    <definedName name="_prt11142" localSheetId="6">#REF!</definedName>
    <definedName name="_prt11142" localSheetId="3">#REF!</definedName>
    <definedName name="_prt11142" localSheetId="25">#REF!</definedName>
    <definedName name="_prt11142" localSheetId="27">#REF!</definedName>
    <definedName name="_prt11142">#REF!</definedName>
    <definedName name="_prt1115" localSheetId="9">#REF!</definedName>
    <definedName name="_prt1115" localSheetId="11">#REF!</definedName>
    <definedName name="_prt1115" localSheetId="14">#REF!</definedName>
    <definedName name="_prt1115" localSheetId="15">#REF!</definedName>
    <definedName name="_prt1115" localSheetId="16">#REF!</definedName>
    <definedName name="_prt1115" localSheetId="10">#REF!</definedName>
    <definedName name="_prt1115" localSheetId="7">#REF!</definedName>
    <definedName name="_prt1115" localSheetId="17">#REF!</definedName>
    <definedName name="_prt1115" localSheetId="2">#REF!</definedName>
    <definedName name="_prt1115" localSheetId="8">#REF!</definedName>
    <definedName name="_prt1115" localSheetId="19">#REF!</definedName>
    <definedName name="_prt1115" localSheetId="18">#REF!</definedName>
    <definedName name="_prt1115" localSheetId="13">#REF!</definedName>
    <definedName name="_prt1115" localSheetId="12">#REF!</definedName>
    <definedName name="_prt1115" localSheetId="20">#REF!</definedName>
    <definedName name="_prt1115" localSheetId="21">#REF!</definedName>
    <definedName name="_prt1115" localSheetId="22">#REF!</definedName>
    <definedName name="_prt1115" localSheetId="4">#REF!</definedName>
    <definedName name="_prt1115" localSheetId="5">#REF!</definedName>
    <definedName name="_prt1115" localSheetId="6">#REF!</definedName>
    <definedName name="_prt1115" localSheetId="3">#REF!</definedName>
    <definedName name="_prt1115" localSheetId="25">#REF!</definedName>
    <definedName name="_prt1115" localSheetId="27">#REF!</definedName>
    <definedName name="_prt1115">#REF!</definedName>
    <definedName name="_prt1116" localSheetId="9">#REF!</definedName>
    <definedName name="_prt1116" localSheetId="11">#REF!</definedName>
    <definedName name="_prt1116" localSheetId="14">#REF!</definedName>
    <definedName name="_prt1116" localSheetId="15">#REF!</definedName>
    <definedName name="_prt1116" localSheetId="16">#REF!</definedName>
    <definedName name="_prt1116" localSheetId="10">#REF!</definedName>
    <definedName name="_prt1116" localSheetId="7">#REF!</definedName>
    <definedName name="_prt1116" localSheetId="17">#REF!</definedName>
    <definedName name="_prt1116" localSheetId="2">#REF!</definedName>
    <definedName name="_prt1116" localSheetId="8">#REF!</definedName>
    <definedName name="_prt1116" localSheetId="19">#REF!</definedName>
    <definedName name="_prt1116" localSheetId="18">#REF!</definedName>
    <definedName name="_prt1116" localSheetId="13">#REF!</definedName>
    <definedName name="_prt1116" localSheetId="12">#REF!</definedName>
    <definedName name="_prt1116" localSheetId="20">#REF!</definedName>
    <definedName name="_prt1116" localSheetId="21">#REF!</definedName>
    <definedName name="_prt1116" localSheetId="22">#REF!</definedName>
    <definedName name="_prt1116" localSheetId="4">#REF!</definedName>
    <definedName name="_prt1116" localSheetId="5">#REF!</definedName>
    <definedName name="_prt1116" localSheetId="6">#REF!</definedName>
    <definedName name="_prt1116" localSheetId="3">#REF!</definedName>
    <definedName name="_prt1116" localSheetId="25">#REF!</definedName>
    <definedName name="_prt1116" localSheetId="27">#REF!</definedName>
    <definedName name="_prt1116">#REF!</definedName>
    <definedName name="_prt1214" localSheetId="9">#REF!</definedName>
    <definedName name="_prt1214" localSheetId="11">#REF!</definedName>
    <definedName name="_prt1214" localSheetId="14">#REF!</definedName>
    <definedName name="_prt1214" localSheetId="15">#REF!</definedName>
    <definedName name="_prt1214" localSheetId="16">#REF!</definedName>
    <definedName name="_prt1214" localSheetId="10">#REF!</definedName>
    <definedName name="_prt1214" localSheetId="7">#REF!</definedName>
    <definedName name="_prt1214" localSheetId="17">#REF!</definedName>
    <definedName name="_prt1214" localSheetId="2">#REF!</definedName>
    <definedName name="_prt1214" localSheetId="8">#REF!</definedName>
    <definedName name="_prt1214" localSheetId="19">#REF!</definedName>
    <definedName name="_prt1214" localSheetId="18">#REF!</definedName>
    <definedName name="_prt1214" localSheetId="13">#REF!</definedName>
    <definedName name="_prt1214" localSheetId="12">#REF!</definedName>
    <definedName name="_prt1214" localSheetId="20">#REF!</definedName>
    <definedName name="_prt1214" localSheetId="21">#REF!</definedName>
    <definedName name="_prt1214" localSheetId="22">#REF!</definedName>
    <definedName name="_prt1214" localSheetId="4">#REF!</definedName>
    <definedName name="_prt1214" localSheetId="5">#REF!</definedName>
    <definedName name="_prt1214" localSheetId="6">#REF!</definedName>
    <definedName name="_prt1214" localSheetId="3">#REF!</definedName>
    <definedName name="_prt1214" localSheetId="25">#REF!</definedName>
    <definedName name="_prt1214" localSheetId="27">#REF!</definedName>
    <definedName name="_prt1214">#REF!</definedName>
    <definedName name="_prt12141" localSheetId="9">#REF!</definedName>
    <definedName name="_prt12141" localSheetId="11">#REF!</definedName>
    <definedName name="_prt12141" localSheetId="14">#REF!</definedName>
    <definedName name="_prt12141" localSheetId="15">#REF!</definedName>
    <definedName name="_prt12141" localSheetId="16">#REF!</definedName>
    <definedName name="_prt12141" localSheetId="10">#REF!</definedName>
    <definedName name="_prt12141" localSheetId="7">#REF!</definedName>
    <definedName name="_prt12141" localSheetId="17">#REF!</definedName>
    <definedName name="_prt12141" localSheetId="2">#REF!</definedName>
    <definedName name="_prt12141" localSheetId="8">#REF!</definedName>
    <definedName name="_prt12141" localSheetId="19">#REF!</definedName>
    <definedName name="_prt12141" localSheetId="18">#REF!</definedName>
    <definedName name="_prt12141" localSheetId="13">#REF!</definedName>
    <definedName name="_prt12141" localSheetId="12">#REF!</definedName>
    <definedName name="_prt12141" localSheetId="20">#REF!</definedName>
    <definedName name="_prt12141" localSheetId="21">#REF!</definedName>
    <definedName name="_prt12141" localSheetId="22">#REF!</definedName>
    <definedName name="_prt12141" localSheetId="4">#REF!</definedName>
    <definedName name="_prt12141" localSheetId="5">#REF!</definedName>
    <definedName name="_prt12141" localSheetId="6">#REF!</definedName>
    <definedName name="_prt12141" localSheetId="3">#REF!</definedName>
    <definedName name="_prt12141" localSheetId="25">#REF!</definedName>
    <definedName name="_prt12141" localSheetId="27">#REF!</definedName>
    <definedName name="_prt12141">#REF!</definedName>
    <definedName name="_prt1311" localSheetId="9">#REF!</definedName>
    <definedName name="_prt1311" localSheetId="11">#REF!</definedName>
    <definedName name="_prt1311" localSheetId="14">#REF!</definedName>
    <definedName name="_prt1311" localSheetId="15">#REF!</definedName>
    <definedName name="_prt1311" localSheetId="16">#REF!</definedName>
    <definedName name="_prt1311" localSheetId="10">#REF!</definedName>
    <definedName name="_prt1311" localSheetId="7">#REF!</definedName>
    <definedName name="_prt1311" localSheetId="17">#REF!</definedName>
    <definedName name="_prt1311" localSheetId="2">#REF!</definedName>
    <definedName name="_prt1311" localSheetId="8">#REF!</definedName>
    <definedName name="_prt1311" localSheetId="19">#REF!</definedName>
    <definedName name="_prt1311" localSheetId="18">#REF!</definedName>
    <definedName name="_prt1311" localSheetId="13">#REF!</definedName>
    <definedName name="_prt1311" localSheetId="12">#REF!</definedName>
    <definedName name="_prt1311" localSheetId="20">#REF!</definedName>
    <definedName name="_prt1311" localSheetId="21">#REF!</definedName>
    <definedName name="_prt1311" localSheetId="22">#REF!</definedName>
    <definedName name="_prt1311" localSheetId="4">#REF!</definedName>
    <definedName name="_prt1311" localSheetId="5">#REF!</definedName>
    <definedName name="_prt1311" localSheetId="6">#REF!</definedName>
    <definedName name="_prt1311" localSheetId="3">#REF!</definedName>
    <definedName name="_prt1311" localSheetId="25">#REF!</definedName>
    <definedName name="_prt1311" localSheetId="27">#REF!</definedName>
    <definedName name="_prt1311">#REF!</definedName>
    <definedName name="_prt1313" localSheetId="9">#REF!</definedName>
    <definedName name="_prt1313" localSheetId="11">#REF!</definedName>
    <definedName name="_prt1313" localSheetId="14">#REF!</definedName>
    <definedName name="_prt1313" localSheetId="15">#REF!</definedName>
    <definedName name="_prt1313" localSheetId="16">#REF!</definedName>
    <definedName name="_prt1313" localSheetId="10">#REF!</definedName>
    <definedName name="_prt1313" localSheetId="7">#REF!</definedName>
    <definedName name="_prt1313" localSheetId="17">#REF!</definedName>
    <definedName name="_prt1313" localSheetId="2">#REF!</definedName>
    <definedName name="_prt1313" localSheetId="8">#REF!</definedName>
    <definedName name="_prt1313" localSheetId="19">#REF!</definedName>
    <definedName name="_prt1313" localSheetId="18">#REF!</definedName>
    <definedName name="_prt1313" localSheetId="13">#REF!</definedName>
    <definedName name="_prt1313" localSheetId="12">#REF!</definedName>
    <definedName name="_prt1313" localSheetId="20">#REF!</definedName>
    <definedName name="_prt1313" localSheetId="21">#REF!</definedName>
    <definedName name="_prt1313" localSheetId="22">#REF!</definedName>
    <definedName name="_prt1313" localSheetId="4">#REF!</definedName>
    <definedName name="_prt1313" localSheetId="5">#REF!</definedName>
    <definedName name="_prt1313" localSheetId="6">#REF!</definedName>
    <definedName name="_prt1313" localSheetId="3">#REF!</definedName>
    <definedName name="_prt1313" localSheetId="25">#REF!</definedName>
    <definedName name="_prt1313" localSheetId="27">#REF!</definedName>
    <definedName name="_prt1313">#REF!</definedName>
    <definedName name="_prt1314" localSheetId="9">#REF!</definedName>
    <definedName name="_prt1314" localSheetId="11">#REF!</definedName>
    <definedName name="_prt1314" localSheetId="14">#REF!</definedName>
    <definedName name="_prt1314" localSheetId="15">#REF!</definedName>
    <definedName name="_prt1314" localSheetId="16">#REF!</definedName>
    <definedName name="_prt1314" localSheetId="10">#REF!</definedName>
    <definedName name="_prt1314" localSheetId="7">#REF!</definedName>
    <definedName name="_prt1314" localSheetId="17">#REF!</definedName>
    <definedName name="_prt1314" localSheetId="2">#REF!</definedName>
    <definedName name="_prt1314" localSheetId="8">#REF!</definedName>
    <definedName name="_prt1314" localSheetId="19">#REF!</definedName>
    <definedName name="_prt1314" localSheetId="18">#REF!</definedName>
    <definedName name="_prt1314" localSheetId="13">#REF!</definedName>
    <definedName name="_prt1314" localSheetId="12">#REF!</definedName>
    <definedName name="_prt1314" localSheetId="20">#REF!</definedName>
    <definedName name="_prt1314" localSheetId="21">#REF!</definedName>
    <definedName name="_prt1314" localSheetId="22">#REF!</definedName>
    <definedName name="_prt1314" localSheetId="4">#REF!</definedName>
    <definedName name="_prt1314" localSheetId="5">#REF!</definedName>
    <definedName name="_prt1314" localSheetId="6">#REF!</definedName>
    <definedName name="_prt1314" localSheetId="3">#REF!</definedName>
    <definedName name="_prt1314" localSheetId="25">#REF!</definedName>
    <definedName name="_prt1314" localSheetId="27">#REF!</definedName>
    <definedName name="_prt1314">#REF!</definedName>
    <definedName name="_prt1315" localSheetId="9">#REF!</definedName>
    <definedName name="_prt1315" localSheetId="11">#REF!</definedName>
    <definedName name="_prt1315" localSheetId="14">#REF!</definedName>
    <definedName name="_prt1315" localSheetId="15">#REF!</definedName>
    <definedName name="_prt1315" localSheetId="16">#REF!</definedName>
    <definedName name="_prt1315" localSheetId="10">#REF!</definedName>
    <definedName name="_prt1315" localSheetId="7">#REF!</definedName>
    <definedName name="_prt1315" localSheetId="17">#REF!</definedName>
    <definedName name="_prt1315" localSheetId="2">#REF!</definedName>
    <definedName name="_prt1315" localSheetId="8">#REF!</definedName>
    <definedName name="_prt1315" localSheetId="19">#REF!</definedName>
    <definedName name="_prt1315" localSheetId="18">#REF!</definedName>
    <definedName name="_prt1315" localSheetId="13">#REF!</definedName>
    <definedName name="_prt1315" localSheetId="12">#REF!</definedName>
    <definedName name="_prt1315" localSheetId="20">#REF!</definedName>
    <definedName name="_prt1315" localSheetId="21">#REF!</definedName>
    <definedName name="_prt1315" localSheetId="22">#REF!</definedName>
    <definedName name="_prt1315" localSheetId="4">#REF!</definedName>
    <definedName name="_prt1315" localSheetId="5">#REF!</definedName>
    <definedName name="_prt1315" localSheetId="6">#REF!</definedName>
    <definedName name="_prt1315" localSheetId="3">#REF!</definedName>
    <definedName name="_prt1315" localSheetId="25">#REF!</definedName>
    <definedName name="_prt1315" localSheetId="27">#REF!</definedName>
    <definedName name="_prt1315">#REF!</definedName>
    <definedName name="_prt1317" localSheetId="9">#REF!</definedName>
    <definedName name="_prt1317" localSheetId="11">#REF!</definedName>
    <definedName name="_prt1317" localSheetId="14">#REF!</definedName>
    <definedName name="_prt1317" localSheetId="15">#REF!</definedName>
    <definedName name="_prt1317" localSheetId="16">#REF!</definedName>
    <definedName name="_prt1317" localSheetId="10">#REF!</definedName>
    <definedName name="_prt1317" localSheetId="7">#REF!</definedName>
    <definedName name="_prt1317" localSheetId="17">#REF!</definedName>
    <definedName name="_prt1317" localSheetId="2">#REF!</definedName>
    <definedName name="_prt1317" localSheetId="8">#REF!</definedName>
    <definedName name="_prt1317" localSheetId="19">#REF!</definedName>
    <definedName name="_prt1317" localSheetId="18">#REF!</definedName>
    <definedName name="_prt1317" localSheetId="13">#REF!</definedName>
    <definedName name="_prt1317" localSheetId="12">#REF!</definedName>
    <definedName name="_prt1317" localSheetId="20">#REF!</definedName>
    <definedName name="_prt1317" localSheetId="21">#REF!</definedName>
    <definedName name="_prt1317" localSheetId="22">#REF!</definedName>
    <definedName name="_prt1317" localSheetId="4">#REF!</definedName>
    <definedName name="_prt1317" localSheetId="5">#REF!</definedName>
    <definedName name="_prt1317" localSheetId="6">#REF!</definedName>
    <definedName name="_prt1317" localSheetId="3">#REF!</definedName>
    <definedName name="_prt1317" localSheetId="25">#REF!</definedName>
    <definedName name="_prt1317" localSheetId="27">#REF!</definedName>
    <definedName name="_prt1317">#REF!</definedName>
    <definedName name="arsheturt" localSheetId="9">#REF!</definedName>
    <definedName name="arsheturt" localSheetId="11">#REF!</definedName>
    <definedName name="arsheturt" localSheetId="14">#REF!</definedName>
    <definedName name="arsheturt" localSheetId="15">#REF!</definedName>
    <definedName name="arsheturt" localSheetId="16">#REF!</definedName>
    <definedName name="arsheturt" localSheetId="10">#REF!</definedName>
    <definedName name="arsheturt" localSheetId="7">#REF!</definedName>
    <definedName name="arsheturt" localSheetId="17">#REF!</definedName>
    <definedName name="arsheturt" localSheetId="2">#REF!</definedName>
    <definedName name="arsheturt" localSheetId="8">#REF!</definedName>
    <definedName name="arsheturt" localSheetId="19">#REF!</definedName>
    <definedName name="arsheturt" localSheetId="18">#REF!</definedName>
    <definedName name="arsheturt" localSheetId="13">#REF!</definedName>
    <definedName name="arsheturt" localSheetId="12">#REF!</definedName>
    <definedName name="arsheturt" localSheetId="20">#REF!</definedName>
    <definedName name="arsheturt" localSheetId="21">#REF!</definedName>
    <definedName name="arsheturt" localSheetId="22">#REF!</definedName>
    <definedName name="arsheturt" localSheetId="4">#REF!</definedName>
    <definedName name="arsheturt" localSheetId="5">#REF!</definedName>
    <definedName name="arsheturt" localSheetId="6">#REF!</definedName>
    <definedName name="arsheturt" localSheetId="3">#REF!</definedName>
    <definedName name="arsheturt" localSheetId="25">#REF!</definedName>
    <definedName name="arsheturt" localSheetId="27">#REF!</definedName>
    <definedName name="arsheturt">#REF!</definedName>
    <definedName name="asa" localSheetId="2">#REF!</definedName>
    <definedName name="asa" localSheetId="5">#REF!</definedName>
    <definedName name="asa" localSheetId="25">#REF!</definedName>
    <definedName name="asa" localSheetId="27">#REF!</definedName>
    <definedName name="asa">#REF!</definedName>
    <definedName name="asasas" localSheetId="2">#REF!</definedName>
    <definedName name="asasas" localSheetId="5">#REF!</definedName>
    <definedName name="asasas" localSheetId="25">#REF!</definedName>
    <definedName name="asasas" localSheetId="27">#REF!</definedName>
    <definedName name="asasas">#REF!</definedName>
    <definedName name="cur" localSheetId="9">'[1]Bl-1'!$E$1</definedName>
    <definedName name="cur" localSheetId="11">'[1]Bl-1'!$E$1</definedName>
    <definedName name="cur" localSheetId="14">'[1]Bl-1'!$E$1</definedName>
    <definedName name="cur" localSheetId="15">'[1]Bl-1'!$E$1</definedName>
    <definedName name="cur" localSheetId="16">'[1]Bl-1'!$E$1</definedName>
    <definedName name="cur" localSheetId="10">'[1]Bl-1'!$E$1</definedName>
    <definedName name="cur" localSheetId="7">'[1]Bl-1'!$E$1</definedName>
    <definedName name="cur" localSheetId="17">'[1]Bl-1'!$E$1</definedName>
    <definedName name="cur" localSheetId="8">'[1]Bl-1'!$E$1</definedName>
    <definedName name="cur" localSheetId="19">'[2]Bl-1'!$E$1</definedName>
    <definedName name="cur" localSheetId="18">'[1]Bl-1'!$E$1</definedName>
    <definedName name="cur" localSheetId="12">'[1]Bl-1'!$E$1</definedName>
    <definedName name="cur" localSheetId="20">'[1]Bl-1'!$E$1</definedName>
    <definedName name="cur" localSheetId="21">'[1]Bl-1'!$E$1</definedName>
    <definedName name="cur" localSheetId="22">'[1]Bl-1'!$E$1</definedName>
    <definedName name="cur" localSheetId="4">'[1]Bl-1'!$E$1</definedName>
    <definedName name="cur" localSheetId="5">'[1]Bl-1'!$E$1</definedName>
    <definedName name="cur" localSheetId="6">'[3]Bl-1'!$E$1</definedName>
    <definedName name="cur" localSheetId="3">'[1]Bl-1'!$E$1</definedName>
    <definedName name="cur">'[4]Bl-1'!$E$1</definedName>
    <definedName name="Éaa" localSheetId="2">#REF!</definedName>
    <definedName name="Éaa" localSheetId="5">#REF!</definedName>
    <definedName name="Éaa" localSheetId="25">#REF!</definedName>
    <definedName name="Éaa" localSheetId="27">#REF!</definedName>
    <definedName name="Éaa">#REF!</definedName>
    <definedName name="energia" localSheetId="9">#REF!</definedName>
    <definedName name="energia" localSheetId="11">#REF!</definedName>
    <definedName name="energia" localSheetId="14">#REF!</definedName>
    <definedName name="energia" localSheetId="15">#REF!</definedName>
    <definedName name="energia" localSheetId="16">#REF!</definedName>
    <definedName name="energia" localSheetId="10">#REF!</definedName>
    <definedName name="energia" localSheetId="7">#REF!</definedName>
    <definedName name="energia" localSheetId="17">#REF!</definedName>
    <definedName name="energia" localSheetId="2">#REF!</definedName>
    <definedName name="energia" localSheetId="8">#REF!</definedName>
    <definedName name="energia" localSheetId="19">#REF!</definedName>
    <definedName name="energia" localSheetId="18">#REF!</definedName>
    <definedName name="energia" localSheetId="13">#REF!</definedName>
    <definedName name="energia" localSheetId="12">#REF!</definedName>
    <definedName name="energia" localSheetId="20">#REF!</definedName>
    <definedName name="energia" localSheetId="21">#REF!</definedName>
    <definedName name="energia" localSheetId="22">#REF!</definedName>
    <definedName name="energia" localSheetId="4">#REF!</definedName>
    <definedName name="energia" localSheetId="5">#REF!</definedName>
    <definedName name="energia" localSheetId="6">#REF!</definedName>
    <definedName name="energia" localSheetId="3">#REF!</definedName>
    <definedName name="energia" localSheetId="25">#REF!</definedName>
    <definedName name="energia" localSheetId="27">#REF!</definedName>
    <definedName name="energia">#REF!</definedName>
    <definedName name="France" localSheetId="9">#REF!</definedName>
    <definedName name="France" localSheetId="11">#REF!</definedName>
    <definedName name="France" localSheetId="14">#REF!</definedName>
    <definedName name="France" localSheetId="15">#REF!</definedName>
    <definedName name="France" localSheetId="16">#REF!</definedName>
    <definedName name="France" localSheetId="10">#REF!</definedName>
    <definedName name="France" localSheetId="7">#REF!</definedName>
    <definedName name="France" localSheetId="17">#REF!</definedName>
    <definedName name="France" localSheetId="2">#REF!</definedName>
    <definedName name="France" localSheetId="8">#REF!</definedName>
    <definedName name="France" localSheetId="19">#REF!</definedName>
    <definedName name="France" localSheetId="18">#REF!</definedName>
    <definedName name="France" localSheetId="13">#REF!</definedName>
    <definedName name="France" localSheetId="12">#REF!</definedName>
    <definedName name="France" localSheetId="20">#REF!</definedName>
    <definedName name="France" localSheetId="21">#REF!</definedName>
    <definedName name="France" localSheetId="22">#REF!</definedName>
    <definedName name="France" localSheetId="4">#REF!</definedName>
    <definedName name="France" localSheetId="5">#REF!</definedName>
    <definedName name="France" localSheetId="6">#REF!</definedName>
    <definedName name="France" localSheetId="3">#REF!</definedName>
    <definedName name="France" localSheetId="25">#REF!</definedName>
    <definedName name="France" localSheetId="27">#REF!</definedName>
    <definedName name="France">#REF!</definedName>
    <definedName name="gandzapet" localSheetId="9">#REF!</definedName>
    <definedName name="gandzapet" localSheetId="11">#REF!</definedName>
    <definedName name="gandzapet" localSheetId="14">#REF!</definedName>
    <definedName name="gandzapet" localSheetId="15">#REF!</definedName>
    <definedName name="gandzapet" localSheetId="16">#REF!</definedName>
    <definedName name="gandzapet" localSheetId="10">#REF!</definedName>
    <definedName name="gandzapet" localSheetId="7">#REF!</definedName>
    <definedName name="gandzapet" localSheetId="17">#REF!</definedName>
    <definedName name="gandzapet" localSheetId="2">#REF!</definedName>
    <definedName name="gandzapet" localSheetId="8">#REF!</definedName>
    <definedName name="gandzapet" localSheetId="19">#REF!</definedName>
    <definedName name="gandzapet" localSheetId="18">#REF!</definedName>
    <definedName name="gandzapet" localSheetId="13">#REF!</definedName>
    <definedName name="gandzapet" localSheetId="12">#REF!</definedName>
    <definedName name="gandzapet" localSheetId="20">#REF!</definedName>
    <definedName name="gandzapet" localSheetId="21">#REF!</definedName>
    <definedName name="gandzapet" localSheetId="22">#REF!</definedName>
    <definedName name="gandzapet" localSheetId="4">#REF!</definedName>
    <definedName name="gandzapet" localSheetId="5">#REF!</definedName>
    <definedName name="gandzapet" localSheetId="6">#REF!</definedName>
    <definedName name="gandzapet" localSheetId="3">#REF!</definedName>
    <definedName name="gandzapet" localSheetId="25">#REF!</definedName>
    <definedName name="gandzapet" localSheetId="27">#REF!</definedName>
    <definedName name="gandzapet">#REF!</definedName>
    <definedName name="geravchar" localSheetId="9">#REF!</definedName>
    <definedName name="geravchar" localSheetId="11">#REF!</definedName>
    <definedName name="geravchar" localSheetId="14">#REF!</definedName>
    <definedName name="geravchar" localSheetId="15">#REF!</definedName>
    <definedName name="geravchar" localSheetId="16">#REF!</definedName>
    <definedName name="geravchar" localSheetId="10">#REF!</definedName>
    <definedName name="geravchar" localSheetId="7">#REF!</definedName>
    <definedName name="geravchar" localSheetId="17">#REF!</definedName>
    <definedName name="geravchar" localSheetId="2">#REF!</definedName>
    <definedName name="geravchar" localSheetId="8">#REF!</definedName>
    <definedName name="geravchar" localSheetId="19">#REF!</definedName>
    <definedName name="geravchar" localSheetId="18">#REF!</definedName>
    <definedName name="geravchar" localSheetId="13">#REF!</definedName>
    <definedName name="geravchar" localSheetId="12">#REF!</definedName>
    <definedName name="geravchar" localSheetId="20">#REF!</definedName>
    <definedName name="geravchar" localSheetId="21">#REF!</definedName>
    <definedName name="geravchar" localSheetId="22">#REF!</definedName>
    <definedName name="geravchar" localSheetId="4">#REF!</definedName>
    <definedName name="geravchar" localSheetId="5">#REF!</definedName>
    <definedName name="geravchar" localSheetId="6">#REF!</definedName>
    <definedName name="geravchar" localSheetId="3">#REF!</definedName>
    <definedName name="geravchar" localSheetId="25">#REF!</definedName>
    <definedName name="geravchar" localSheetId="27">#REF!</definedName>
    <definedName name="geravchar">#REF!</definedName>
    <definedName name="gortsarna" localSheetId="9">#REF!</definedName>
    <definedName name="gortsarna" localSheetId="11">#REF!</definedName>
    <definedName name="gortsarna" localSheetId="14">#REF!</definedName>
    <definedName name="gortsarna" localSheetId="15">#REF!</definedName>
    <definedName name="gortsarna" localSheetId="16">#REF!</definedName>
    <definedName name="gortsarna" localSheetId="10">#REF!</definedName>
    <definedName name="gortsarna" localSheetId="7">#REF!</definedName>
    <definedName name="gortsarna" localSheetId="17">#REF!</definedName>
    <definedName name="gortsarna" localSheetId="2">#REF!</definedName>
    <definedName name="gortsarna" localSheetId="8">#REF!</definedName>
    <definedName name="gortsarna" localSheetId="19">#REF!</definedName>
    <definedName name="gortsarna" localSheetId="18">#REF!</definedName>
    <definedName name="gortsarna" localSheetId="13">#REF!</definedName>
    <definedName name="gortsarna" localSheetId="12">#REF!</definedName>
    <definedName name="gortsarna" localSheetId="20">#REF!</definedName>
    <definedName name="gortsarna" localSheetId="21">#REF!</definedName>
    <definedName name="gortsarna" localSheetId="22">#REF!</definedName>
    <definedName name="gortsarna" localSheetId="4">#REF!</definedName>
    <definedName name="gortsarna" localSheetId="5">#REF!</definedName>
    <definedName name="gortsarna" localSheetId="6">#REF!</definedName>
    <definedName name="gortsarna" localSheetId="3">#REF!</definedName>
    <definedName name="gortsarna" localSheetId="25">#REF!</definedName>
    <definedName name="gortsarna" localSheetId="27">#REF!</definedName>
    <definedName name="gortsarna">#REF!</definedName>
    <definedName name="hac" localSheetId="9">#REF!</definedName>
    <definedName name="hac" localSheetId="11">#REF!</definedName>
    <definedName name="hac" localSheetId="14">#REF!</definedName>
    <definedName name="hac" localSheetId="15">#REF!</definedName>
    <definedName name="hac" localSheetId="16">#REF!</definedName>
    <definedName name="hac" localSheetId="10">#REF!</definedName>
    <definedName name="hac" localSheetId="7">#REF!</definedName>
    <definedName name="hac" localSheetId="17">#REF!</definedName>
    <definedName name="hac" localSheetId="2">#REF!</definedName>
    <definedName name="hac" localSheetId="8">#REF!</definedName>
    <definedName name="hac" localSheetId="19">#REF!</definedName>
    <definedName name="hac" localSheetId="18">#REF!</definedName>
    <definedName name="hac" localSheetId="13">#REF!</definedName>
    <definedName name="hac" localSheetId="12">#REF!</definedName>
    <definedName name="hac" localSheetId="20">#REF!</definedName>
    <definedName name="hac" localSheetId="21">#REF!</definedName>
    <definedName name="hac" localSheetId="22">#REF!</definedName>
    <definedName name="hac" localSheetId="4">#REF!</definedName>
    <definedName name="hac" localSheetId="5">#REF!</definedName>
    <definedName name="hac" localSheetId="6">#REF!</definedName>
    <definedName name="hac" localSheetId="3">#REF!</definedName>
    <definedName name="hac" localSheetId="25">#REF!</definedName>
    <definedName name="hac" localSheetId="27">#REF!</definedName>
    <definedName name="hac">#REF!</definedName>
    <definedName name="Hayk" localSheetId="9">#REF!</definedName>
    <definedName name="Hayk" localSheetId="11">#REF!</definedName>
    <definedName name="Hayk" localSheetId="14">#REF!</definedName>
    <definedName name="Hayk" localSheetId="15">#REF!</definedName>
    <definedName name="Hayk" localSheetId="16">#REF!</definedName>
    <definedName name="Hayk" localSheetId="10">#REF!</definedName>
    <definedName name="Hayk" localSheetId="7">#REF!</definedName>
    <definedName name="Hayk" localSheetId="17">#REF!</definedName>
    <definedName name="Hayk" localSheetId="2">#REF!</definedName>
    <definedName name="Hayk" localSheetId="8">#REF!</definedName>
    <definedName name="Hayk" localSheetId="19">#REF!</definedName>
    <definedName name="Hayk" localSheetId="18">#REF!</definedName>
    <definedName name="Hayk" localSheetId="13">#REF!</definedName>
    <definedName name="Hayk" localSheetId="12">#REF!</definedName>
    <definedName name="Hayk" localSheetId="20">#REF!</definedName>
    <definedName name="Hayk" localSheetId="21">#REF!</definedName>
    <definedName name="Hayk" localSheetId="22">#REF!</definedName>
    <definedName name="Hayk" localSheetId="4">#REF!</definedName>
    <definedName name="Hayk" localSheetId="5">#REF!</definedName>
    <definedName name="Hayk" localSheetId="6">#REF!</definedName>
    <definedName name="Hayk" localSheetId="3">#REF!</definedName>
    <definedName name="Hayk" localSheetId="25">#REF!</definedName>
    <definedName name="Hayk" localSheetId="27">#REF!</definedName>
    <definedName name="Hayk">#REF!</definedName>
    <definedName name="Hayk1" localSheetId="9">#REF!</definedName>
    <definedName name="Hayk1" localSheetId="11">#REF!</definedName>
    <definedName name="Hayk1" localSheetId="14">#REF!</definedName>
    <definedName name="Hayk1" localSheetId="15">#REF!</definedName>
    <definedName name="Hayk1" localSheetId="16">#REF!</definedName>
    <definedName name="Hayk1" localSheetId="10">#REF!</definedName>
    <definedName name="Hayk1" localSheetId="7">#REF!</definedName>
    <definedName name="Hayk1" localSheetId="17">#REF!</definedName>
    <definedName name="Hayk1" localSheetId="2">#REF!</definedName>
    <definedName name="Hayk1" localSheetId="8">#REF!</definedName>
    <definedName name="Hayk1" localSheetId="19">#REF!</definedName>
    <definedName name="Hayk1" localSheetId="18">#REF!</definedName>
    <definedName name="Hayk1" localSheetId="13">#REF!</definedName>
    <definedName name="Hayk1" localSheetId="12">#REF!</definedName>
    <definedName name="Hayk1" localSheetId="20">#REF!</definedName>
    <definedName name="Hayk1" localSheetId="21">#REF!</definedName>
    <definedName name="Hayk1" localSheetId="22">#REF!</definedName>
    <definedName name="Hayk1" localSheetId="4">#REF!</definedName>
    <definedName name="Hayk1" localSheetId="5">#REF!</definedName>
    <definedName name="Hayk1" localSheetId="6">#REF!</definedName>
    <definedName name="Hayk1" localSheetId="3">#REF!</definedName>
    <definedName name="Hayk1" localSheetId="25">#REF!</definedName>
    <definedName name="Hayk1" localSheetId="27">#REF!</definedName>
    <definedName name="Hayk1">#REF!</definedName>
    <definedName name="Hayk2" localSheetId="9">#REF!</definedName>
    <definedName name="Hayk2" localSheetId="11">#REF!</definedName>
    <definedName name="Hayk2" localSheetId="14">#REF!</definedName>
    <definedName name="Hayk2" localSheetId="15">#REF!</definedName>
    <definedName name="Hayk2" localSheetId="16">#REF!</definedName>
    <definedName name="Hayk2" localSheetId="10">#REF!</definedName>
    <definedName name="Hayk2" localSheetId="7">#REF!</definedName>
    <definedName name="Hayk2" localSheetId="17">#REF!</definedName>
    <definedName name="Hayk2" localSheetId="2">#REF!</definedName>
    <definedName name="Hayk2" localSheetId="8">#REF!</definedName>
    <definedName name="Hayk2" localSheetId="19">#REF!</definedName>
    <definedName name="Hayk2" localSheetId="18">#REF!</definedName>
    <definedName name="Hayk2" localSheetId="13">#REF!</definedName>
    <definedName name="Hayk2" localSheetId="12">#REF!</definedName>
    <definedName name="Hayk2" localSheetId="20">#REF!</definedName>
    <definedName name="Hayk2" localSheetId="21">#REF!</definedName>
    <definedName name="Hayk2" localSheetId="22">#REF!</definedName>
    <definedName name="Hayk2" localSheetId="4">#REF!</definedName>
    <definedName name="Hayk2" localSheetId="5">#REF!</definedName>
    <definedName name="Hayk2" localSheetId="6">#REF!</definedName>
    <definedName name="Hayk2" localSheetId="3">#REF!</definedName>
    <definedName name="Hayk2" localSheetId="25">#REF!</definedName>
    <definedName name="Hayk2" localSheetId="27">#REF!</definedName>
    <definedName name="Hayk2">#REF!</definedName>
    <definedName name="Hayk3" localSheetId="9">#REF!</definedName>
    <definedName name="Hayk3" localSheetId="11">#REF!</definedName>
    <definedName name="Hayk3" localSheetId="14">#REF!</definedName>
    <definedName name="Hayk3" localSheetId="15">#REF!</definedName>
    <definedName name="Hayk3" localSheetId="16">#REF!</definedName>
    <definedName name="Hayk3" localSheetId="10">#REF!</definedName>
    <definedName name="Hayk3" localSheetId="7">#REF!</definedName>
    <definedName name="Hayk3" localSheetId="17">#REF!</definedName>
    <definedName name="Hayk3" localSheetId="2">#REF!</definedName>
    <definedName name="Hayk3" localSheetId="8">#REF!</definedName>
    <definedName name="Hayk3" localSheetId="19">#REF!</definedName>
    <definedName name="Hayk3" localSheetId="18">#REF!</definedName>
    <definedName name="Hayk3" localSheetId="13">#REF!</definedName>
    <definedName name="Hayk3" localSheetId="12">#REF!</definedName>
    <definedName name="Hayk3" localSheetId="20">#REF!</definedName>
    <definedName name="Hayk3" localSheetId="21">#REF!</definedName>
    <definedName name="Hayk3" localSheetId="22">#REF!</definedName>
    <definedName name="Hayk3" localSheetId="4">#REF!</definedName>
    <definedName name="Hayk3" localSheetId="5">#REF!</definedName>
    <definedName name="Hayk3" localSheetId="6">#REF!</definedName>
    <definedName name="Hayk3" localSheetId="3">#REF!</definedName>
    <definedName name="Hayk3" localSheetId="25">#REF!</definedName>
    <definedName name="Hayk3" localSheetId="27">#REF!</definedName>
    <definedName name="Hayk3">#REF!</definedName>
    <definedName name="hj" localSheetId="9">#REF!</definedName>
    <definedName name="hj" localSheetId="11">#REF!</definedName>
    <definedName name="hj" localSheetId="14">#REF!</definedName>
    <definedName name="hj" localSheetId="15">#REF!</definedName>
    <definedName name="hj" localSheetId="16">#REF!</definedName>
    <definedName name="hj" localSheetId="10">#REF!</definedName>
    <definedName name="hj" localSheetId="7">#REF!</definedName>
    <definedName name="hj" localSheetId="17">#REF!</definedName>
    <definedName name="hj" localSheetId="2">#REF!</definedName>
    <definedName name="hj" localSheetId="8">#REF!</definedName>
    <definedName name="hj" localSheetId="19">#REF!</definedName>
    <definedName name="hj" localSheetId="18">#REF!</definedName>
    <definedName name="hj" localSheetId="13">#REF!</definedName>
    <definedName name="hj" localSheetId="12">#REF!</definedName>
    <definedName name="hj" localSheetId="20">#REF!</definedName>
    <definedName name="hj" localSheetId="21">#REF!</definedName>
    <definedName name="hj" localSheetId="22">#REF!</definedName>
    <definedName name="hj" localSheetId="4">#REF!</definedName>
    <definedName name="hj" localSheetId="5">#REF!</definedName>
    <definedName name="hj" localSheetId="6">#REF!</definedName>
    <definedName name="hj" localSheetId="3">#REF!</definedName>
    <definedName name="hj" localSheetId="25">#REF!</definedName>
    <definedName name="hj" localSheetId="27">#REF!</definedName>
    <definedName name="hj">#REF!</definedName>
    <definedName name="Kent.bank" localSheetId="9">#REF!</definedName>
    <definedName name="Kent.bank" localSheetId="11">#REF!</definedName>
    <definedName name="Kent.bank" localSheetId="14">#REF!</definedName>
    <definedName name="Kent.bank" localSheetId="15">#REF!</definedName>
    <definedName name="Kent.bank" localSheetId="16">#REF!</definedName>
    <definedName name="Kent.bank" localSheetId="10">#REF!</definedName>
    <definedName name="Kent.bank" localSheetId="7">#REF!</definedName>
    <definedName name="Kent.bank" localSheetId="17">#REF!</definedName>
    <definedName name="Kent.bank" localSheetId="2">#REF!</definedName>
    <definedName name="Kent.bank" localSheetId="8">#REF!</definedName>
    <definedName name="Kent.bank" localSheetId="19">#REF!</definedName>
    <definedName name="Kent.bank" localSheetId="18">#REF!</definedName>
    <definedName name="Kent.bank" localSheetId="13">#REF!</definedName>
    <definedName name="Kent.bank" localSheetId="12">#REF!</definedName>
    <definedName name="Kent.bank" localSheetId="20">#REF!</definedName>
    <definedName name="Kent.bank" localSheetId="21">#REF!</definedName>
    <definedName name="Kent.bank" localSheetId="22">#REF!</definedName>
    <definedName name="Kent.bank" localSheetId="4">#REF!</definedName>
    <definedName name="Kent.bank" localSheetId="5">#REF!</definedName>
    <definedName name="Kent.bank" localSheetId="6">#REF!</definedName>
    <definedName name="Kent.bank" localSheetId="3">#REF!</definedName>
    <definedName name="Kent.bank" localSheetId="25">#REF!</definedName>
    <definedName name="Kent.bank" localSheetId="27">#REF!</definedName>
    <definedName name="Kent.bank">#REF!</definedName>
    <definedName name="kentroni" localSheetId="9">#REF!</definedName>
    <definedName name="kentroni" localSheetId="11">#REF!</definedName>
    <definedName name="kentroni" localSheetId="14">#REF!</definedName>
    <definedName name="kentroni" localSheetId="15">#REF!</definedName>
    <definedName name="kentroni" localSheetId="16">#REF!</definedName>
    <definedName name="kentroni" localSheetId="10">#REF!</definedName>
    <definedName name="kentroni" localSheetId="7">#REF!</definedName>
    <definedName name="kentroni" localSheetId="17">#REF!</definedName>
    <definedName name="kentroni" localSheetId="2">#REF!</definedName>
    <definedName name="kentroni" localSheetId="8">#REF!</definedName>
    <definedName name="kentroni" localSheetId="19">#REF!</definedName>
    <definedName name="kentroni" localSheetId="18">#REF!</definedName>
    <definedName name="kentroni" localSheetId="13">#REF!</definedName>
    <definedName name="kentroni" localSheetId="12">#REF!</definedName>
    <definedName name="kentroni" localSheetId="20">#REF!</definedName>
    <definedName name="kentroni" localSheetId="21">#REF!</definedName>
    <definedName name="kentroni" localSheetId="22">#REF!</definedName>
    <definedName name="kentroni" localSheetId="4">#REF!</definedName>
    <definedName name="kentroni" localSheetId="5">#REF!</definedName>
    <definedName name="kentroni" localSheetId="6">#REF!</definedName>
    <definedName name="kentroni" localSheetId="3">#REF!</definedName>
    <definedName name="kentroni" localSheetId="25">#REF!</definedName>
    <definedName name="kentroni" localSheetId="27">#REF!</definedName>
    <definedName name="kentroni">#REF!</definedName>
    <definedName name="KENTRWN" localSheetId="9">#REF!</definedName>
    <definedName name="KENTRWN" localSheetId="11">#REF!</definedName>
    <definedName name="KENTRWN" localSheetId="14">#REF!</definedName>
    <definedName name="KENTRWN" localSheetId="15">#REF!</definedName>
    <definedName name="KENTRWN" localSheetId="16">#REF!</definedName>
    <definedName name="KENTRWN" localSheetId="10">#REF!</definedName>
    <definedName name="KENTRWN" localSheetId="7">#REF!</definedName>
    <definedName name="KENTRWN" localSheetId="17">#REF!</definedName>
    <definedName name="KENTRWN" localSheetId="2">#REF!</definedName>
    <definedName name="KENTRWN" localSheetId="8">#REF!</definedName>
    <definedName name="KENTRWN" localSheetId="19">#REF!</definedName>
    <definedName name="KENTRWN" localSheetId="18">#REF!</definedName>
    <definedName name="KENTRWN" localSheetId="13">#REF!</definedName>
    <definedName name="KENTRWN" localSheetId="12">#REF!</definedName>
    <definedName name="KENTRWN" localSheetId="20">#REF!</definedName>
    <definedName name="KENTRWN" localSheetId="21">#REF!</definedName>
    <definedName name="KENTRWN" localSheetId="22">#REF!</definedName>
    <definedName name="KENTRWN" localSheetId="4">#REF!</definedName>
    <definedName name="KENTRWN" localSheetId="5">#REF!</definedName>
    <definedName name="KENTRWN" localSheetId="6">#REF!</definedName>
    <definedName name="KENTRWN" localSheetId="3">#REF!</definedName>
    <definedName name="KENTRWN" localSheetId="25">#REF!</definedName>
    <definedName name="KENTRWN" localSheetId="27">#REF!</definedName>
    <definedName name="KENTRWN">#REF!</definedName>
    <definedName name="miasnakan" localSheetId="9">#REF!</definedName>
    <definedName name="miasnakan" localSheetId="11">#REF!</definedName>
    <definedName name="miasnakan" localSheetId="14">#REF!</definedName>
    <definedName name="miasnakan" localSheetId="15">#REF!</definedName>
    <definedName name="miasnakan" localSheetId="16">#REF!</definedName>
    <definedName name="miasnakan" localSheetId="10">#REF!</definedName>
    <definedName name="miasnakan" localSheetId="7">#REF!</definedName>
    <definedName name="miasnakan" localSheetId="17">#REF!</definedName>
    <definedName name="miasnakan" localSheetId="2">#REF!</definedName>
    <definedName name="miasnakan" localSheetId="8">#REF!</definedName>
    <definedName name="miasnakan" localSheetId="19">#REF!</definedName>
    <definedName name="miasnakan" localSheetId="18">#REF!</definedName>
    <definedName name="miasnakan" localSheetId="13">#REF!</definedName>
    <definedName name="miasnakan" localSheetId="12">#REF!</definedName>
    <definedName name="miasnakan" localSheetId="20">#REF!</definedName>
    <definedName name="miasnakan" localSheetId="21">#REF!</definedName>
    <definedName name="miasnakan" localSheetId="22">#REF!</definedName>
    <definedName name="miasnakan" localSheetId="4">#REF!</definedName>
    <definedName name="miasnakan" localSheetId="5">#REF!</definedName>
    <definedName name="miasnakan" localSheetId="6">#REF!</definedName>
    <definedName name="miasnakan" localSheetId="3">#REF!</definedName>
    <definedName name="miasnakan" localSheetId="25">#REF!</definedName>
    <definedName name="miasnakan" localSheetId="27">#REF!</definedName>
    <definedName name="miasnakan">#REF!</definedName>
    <definedName name="Pashtpan" localSheetId="9">#REF!</definedName>
    <definedName name="Pashtpan" localSheetId="11">#REF!</definedName>
    <definedName name="Pashtpan" localSheetId="14">#REF!</definedName>
    <definedName name="Pashtpan" localSheetId="15">#REF!</definedName>
    <definedName name="Pashtpan" localSheetId="16">#REF!</definedName>
    <definedName name="Pashtpan" localSheetId="10">#REF!</definedName>
    <definedName name="Pashtpan" localSheetId="7">#REF!</definedName>
    <definedName name="Pashtpan" localSheetId="17">#REF!</definedName>
    <definedName name="Pashtpan" localSheetId="2">#REF!</definedName>
    <definedName name="Pashtpan" localSheetId="8">#REF!</definedName>
    <definedName name="Pashtpan" localSheetId="19">#REF!</definedName>
    <definedName name="Pashtpan" localSheetId="18">#REF!</definedName>
    <definedName name="Pashtpan" localSheetId="13">#REF!</definedName>
    <definedName name="Pashtpan" localSheetId="12">#REF!</definedName>
    <definedName name="Pashtpan" localSheetId="20">#REF!</definedName>
    <definedName name="Pashtpan" localSheetId="21">#REF!</definedName>
    <definedName name="Pashtpan" localSheetId="22">#REF!</definedName>
    <definedName name="Pashtpan" localSheetId="4">#REF!</definedName>
    <definedName name="Pashtpan" localSheetId="5">#REF!</definedName>
    <definedName name="Pashtpan" localSheetId="6">#REF!</definedName>
    <definedName name="Pashtpan" localSheetId="3">#REF!</definedName>
    <definedName name="Pashtpan" localSheetId="25">#REF!</definedName>
    <definedName name="Pashtpan" localSheetId="27">#REF!</definedName>
    <definedName name="Pashtpan">#REF!</definedName>
    <definedName name="_xlnm.Print_Area" localSheetId="9">ajapnyak!$A$1:$H$16</definedName>
    <definedName name="_xlnm.Print_Area" localSheetId="0">ampop!$B$1:$L$32</definedName>
    <definedName name="_xlnm.Print_Area" localSheetId="11">arabkir!$A$1:$H$35</definedName>
    <definedName name="_xlnm.Print_Area" localSheetId="14">aragac!$A$1:$H$23</definedName>
    <definedName name="_xlnm.Print_Area" localSheetId="15">ararat!$A$1:$H$26</definedName>
    <definedName name="_xlnm.Print_Area" localSheetId="10">avan!$A$1:$H$21</definedName>
    <definedName name="_xlnm.Print_Area" localSheetId="1">BDX!$A$1:$I$26</definedName>
    <definedName name="_xlnm.Print_Area" localSheetId="2">Kargadrich!$A$1:$I$17</definedName>
    <definedName name="_xlnm.Print_Area" localSheetId="8">kentron!$A$1:$H$21</definedName>
    <definedName name="_xlnm.Print_Area" localSheetId="5">v.qr!$A$1:$I$34</definedName>
    <definedName name="_xlnm.Print_Area" localSheetId="3">vchrabek!$A$1:$I$25</definedName>
    <definedName name="_xlnm.Print_Area" localSheetId="26">'Yerevan qax'!$A$1:$I$24</definedName>
    <definedName name="_xlnm.Print_Area" localSheetId="27">'Yerevan qr'!$A$1:$I$27</definedName>
    <definedName name="prt11192000" localSheetId="9">#REF!</definedName>
    <definedName name="prt11192000" localSheetId="11">#REF!</definedName>
    <definedName name="prt11192000" localSheetId="14">#REF!</definedName>
    <definedName name="prt11192000" localSheetId="15">#REF!</definedName>
    <definedName name="prt11192000" localSheetId="16">#REF!</definedName>
    <definedName name="prt11192000" localSheetId="10">#REF!</definedName>
    <definedName name="prt11192000" localSheetId="7">#REF!</definedName>
    <definedName name="prt11192000" localSheetId="17">#REF!</definedName>
    <definedName name="prt11192000" localSheetId="2">#REF!</definedName>
    <definedName name="prt11192000" localSheetId="8">#REF!</definedName>
    <definedName name="prt11192000" localSheetId="19">#REF!</definedName>
    <definedName name="prt11192000" localSheetId="18">#REF!</definedName>
    <definedName name="prt11192000" localSheetId="13">#REF!</definedName>
    <definedName name="prt11192000" localSheetId="12">#REF!</definedName>
    <definedName name="prt11192000" localSheetId="20">#REF!</definedName>
    <definedName name="prt11192000" localSheetId="21">#REF!</definedName>
    <definedName name="prt11192000" localSheetId="22">#REF!</definedName>
    <definedName name="prt11192000" localSheetId="4">#REF!</definedName>
    <definedName name="prt11192000" localSheetId="5">#REF!</definedName>
    <definedName name="prt11192000" localSheetId="6">#REF!</definedName>
    <definedName name="prt11192000" localSheetId="3">#REF!</definedName>
    <definedName name="prt11192000" localSheetId="25">#REF!</definedName>
    <definedName name="prt11192000" localSheetId="27">#REF!</definedName>
    <definedName name="prt11192000">#REF!</definedName>
    <definedName name="prt11192001" localSheetId="9">#REF!</definedName>
    <definedName name="prt11192001" localSheetId="11">#REF!</definedName>
    <definedName name="prt11192001" localSheetId="14">#REF!</definedName>
    <definedName name="prt11192001" localSheetId="15">#REF!</definedName>
    <definedName name="prt11192001" localSheetId="16">#REF!</definedName>
    <definedName name="prt11192001" localSheetId="10">#REF!</definedName>
    <definedName name="prt11192001" localSheetId="7">#REF!</definedName>
    <definedName name="prt11192001" localSheetId="17">#REF!</definedName>
    <definedName name="prt11192001" localSheetId="2">#REF!</definedName>
    <definedName name="prt11192001" localSheetId="8">#REF!</definedName>
    <definedName name="prt11192001" localSheetId="19">#REF!</definedName>
    <definedName name="prt11192001" localSheetId="18">#REF!</definedName>
    <definedName name="prt11192001" localSheetId="13">#REF!</definedName>
    <definedName name="prt11192001" localSheetId="12">#REF!</definedName>
    <definedName name="prt11192001" localSheetId="20">#REF!</definedName>
    <definedName name="prt11192001" localSheetId="21">#REF!</definedName>
    <definedName name="prt11192001" localSheetId="22">#REF!</definedName>
    <definedName name="prt11192001" localSheetId="4">#REF!</definedName>
    <definedName name="prt11192001" localSheetId="5">#REF!</definedName>
    <definedName name="prt11192001" localSheetId="6">#REF!</definedName>
    <definedName name="prt11192001" localSheetId="3">#REF!</definedName>
    <definedName name="prt11192001" localSheetId="25">#REF!</definedName>
    <definedName name="prt11192001" localSheetId="27">#REF!</definedName>
    <definedName name="prt11192001">#REF!</definedName>
    <definedName name="Qashatar" localSheetId="9">#REF!</definedName>
    <definedName name="Qashatar" localSheetId="11">#REF!</definedName>
    <definedName name="Qashatar" localSheetId="14">#REF!</definedName>
    <definedName name="Qashatar" localSheetId="15">#REF!</definedName>
    <definedName name="Qashatar" localSheetId="16">#REF!</definedName>
    <definedName name="Qashatar" localSheetId="10">#REF!</definedName>
    <definedName name="Qashatar" localSheetId="7">#REF!</definedName>
    <definedName name="Qashatar" localSheetId="17">#REF!</definedName>
    <definedName name="Qashatar" localSheetId="2">#REF!</definedName>
    <definedName name="Qashatar" localSheetId="8">#REF!</definedName>
    <definedName name="Qashatar" localSheetId="19">#REF!</definedName>
    <definedName name="Qashatar" localSheetId="18">#REF!</definedName>
    <definedName name="Qashatar" localSheetId="13">#REF!</definedName>
    <definedName name="Qashatar" localSheetId="12">#REF!</definedName>
    <definedName name="Qashatar" localSheetId="20">#REF!</definedName>
    <definedName name="Qashatar" localSheetId="21">#REF!</definedName>
    <definedName name="Qashatar" localSheetId="22">#REF!</definedName>
    <definedName name="Qashatar" localSheetId="4">#REF!</definedName>
    <definedName name="Qashatar" localSheetId="5">#REF!</definedName>
    <definedName name="Qashatar" localSheetId="6">#REF!</definedName>
    <definedName name="Qashatar" localSheetId="3">#REF!</definedName>
    <definedName name="Qashatar" localSheetId="25">#REF!</definedName>
    <definedName name="Qashatar" localSheetId="27">#REF!</definedName>
    <definedName name="Qashatar">#REF!</definedName>
    <definedName name="rarabar" localSheetId="9">#REF!</definedName>
    <definedName name="rarabar" localSheetId="11">#REF!</definedName>
    <definedName name="rarabar" localSheetId="14">#REF!</definedName>
    <definedName name="rarabar" localSheetId="15">#REF!</definedName>
    <definedName name="rarabar" localSheetId="16">#REF!</definedName>
    <definedName name="rarabar" localSheetId="10">#REF!</definedName>
    <definedName name="rarabar" localSheetId="7">#REF!</definedName>
    <definedName name="rarabar" localSheetId="17">#REF!</definedName>
    <definedName name="rarabar" localSheetId="2">#REF!</definedName>
    <definedName name="rarabar" localSheetId="8">#REF!</definedName>
    <definedName name="rarabar" localSheetId="19">#REF!</definedName>
    <definedName name="rarabar" localSheetId="18">#REF!</definedName>
    <definedName name="rarabar" localSheetId="13">#REF!</definedName>
    <definedName name="rarabar" localSheetId="12">#REF!</definedName>
    <definedName name="rarabar" localSheetId="20">#REF!</definedName>
    <definedName name="rarabar" localSheetId="21">#REF!</definedName>
    <definedName name="rarabar" localSheetId="22">#REF!</definedName>
    <definedName name="rarabar" localSheetId="4">#REF!</definedName>
    <definedName name="rarabar" localSheetId="5">#REF!</definedName>
    <definedName name="rarabar" localSheetId="6">#REF!</definedName>
    <definedName name="rarabar" localSheetId="3">#REF!</definedName>
    <definedName name="rarabar" localSheetId="25">#REF!</definedName>
    <definedName name="rarabar" localSheetId="27">#REF!</definedName>
    <definedName name="rarabar">#REF!</definedName>
    <definedName name="ü240" localSheetId="9">#REF!</definedName>
    <definedName name="ü240" localSheetId="11">#REF!</definedName>
    <definedName name="ü240" localSheetId="14">#REF!</definedName>
    <definedName name="ü240" localSheetId="15">#REF!</definedName>
    <definedName name="ü240" localSheetId="16">#REF!</definedName>
    <definedName name="ü240" localSheetId="10">#REF!</definedName>
    <definedName name="ü240" localSheetId="7">#REF!</definedName>
    <definedName name="ü240" localSheetId="17">#REF!</definedName>
    <definedName name="ü240" localSheetId="2">#REF!</definedName>
    <definedName name="ü240" localSheetId="8">#REF!</definedName>
    <definedName name="ü240" localSheetId="19">#REF!</definedName>
    <definedName name="ü240" localSheetId="18">#REF!</definedName>
    <definedName name="ü240" localSheetId="13">#REF!</definedName>
    <definedName name="ü240" localSheetId="12">#REF!</definedName>
    <definedName name="ü240" localSheetId="20">#REF!</definedName>
    <definedName name="ü240" localSheetId="21">#REF!</definedName>
    <definedName name="ü240" localSheetId="22">#REF!</definedName>
    <definedName name="ü240" localSheetId="4">#REF!</definedName>
    <definedName name="ü240" localSheetId="5">#REF!</definedName>
    <definedName name="ü240" localSheetId="6">#REF!</definedName>
    <definedName name="ü240" localSheetId="3">#REF!</definedName>
    <definedName name="ü240" localSheetId="25">#REF!</definedName>
    <definedName name="ü240" localSheetId="27">#REF!</definedName>
    <definedName name="ü240">#REF!</definedName>
    <definedName name="V" localSheetId="9">#REF!</definedName>
    <definedName name="V" localSheetId="11">#REF!</definedName>
    <definedName name="V" localSheetId="14">#REF!</definedName>
    <definedName name="V" localSheetId="15">#REF!</definedName>
    <definedName name="V" localSheetId="16">#REF!</definedName>
    <definedName name="V" localSheetId="10">#REF!</definedName>
    <definedName name="V" localSheetId="7">#REF!</definedName>
    <definedName name="V" localSheetId="17">#REF!</definedName>
    <definedName name="V" localSheetId="2">#REF!</definedName>
    <definedName name="V" localSheetId="8">#REF!</definedName>
    <definedName name="V" localSheetId="19">#REF!</definedName>
    <definedName name="V" localSheetId="18">#REF!</definedName>
    <definedName name="V" localSheetId="13">#REF!</definedName>
    <definedName name="V" localSheetId="12">#REF!</definedName>
    <definedName name="V" localSheetId="20">#REF!</definedName>
    <definedName name="V" localSheetId="21">#REF!</definedName>
    <definedName name="V" localSheetId="22">#REF!</definedName>
    <definedName name="V" localSheetId="4">#REF!</definedName>
    <definedName name="V" localSheetId="5">#REF!</definedName>
    <definedName name="V" localSheetId="6">#REF!</definedName>
    <definedName name="V" localSheetId="3">#REF!</definedName>
    <definedName name="V" localSheetId="25">#REF!</definedName>
    <definedName name="V" localSheetId="27">#REF!</definedName>
    <definedName name="V">#REF!</definedName>
    <definedName name="ver.hakakor" localSheetId="25">#REF!</definedName>
    <definedName name="ver.hakakor">#REF!</definedName>
    <definedName name="Ver.hakakorupcion" localSheetId="25">#REF!</definedName>
    <definedName name="Ver.hakakorupcion">#REF!</definedName>
  </definedNames>
  <calcPr calcId="162913"/>
  <fileRecoveryPr repairLoad="1"/>
</workbook>
</file>

<file path=xl/calcChain.xml><?xml version="1.0" encoding="utf-8"?>
<calcChain xmlns="http://schemas.openxmlformats.org/spreadsheetml/2006/main">
  <c r="D7" i="22" l="1"/>
  <c r="D8" i="22"/>
  <c r="D8" i="20" l="1"/>
  <c r="D7" i="20"/>
  <c r="D8" i="19" l="1"/>
  <c r="D7" i="19"/>
  <c r="D6" i="15"/>
  <c r="D7" i="16"/>
  <c r="D7" i="17"/>
  <c r="D8" i="17"/>
  <c r="D7" i="21" l="1"/>
  <c r="D8" i="21"/>
  <c r="F14" i="32" l="1"/>
  <c r="I14" i="4" l="1"/>
  <c r="G18" i="33" l="1"/>
  <c r="K14" i="1" l="1"/>
  <c r="K15" i="1"/>
  <c r="J16" i="1"/>
  <c r="K16" i="1"/>
  <c r="K17" i="1"/>
  <c r="J18" i="1"/>
  <c r="K18" i="1"/>
  <c r="J19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C7" i="4" l="1"/>
  <c r="D9" i="23" l="1"/>
  <c r="H27" i="23"/>
  <c r="C7" i="22"/>
  <c r="C8" i="21"/>
  <c r="D10" i="19"/>
  <c r="D9" i="19"/>
  <c r="C8" i="19"/>
  <c r="C10" i="19"/>
  <c r="H27" i="18"/>
  <c r="C8" i="18"/>
  <c r="C9" i="16"/>
  <c r="C8" i="16"/>
  <c r="C7" i="15"/>
  <c r="H23" i="4" l="1"/>
  <c r="F18" i="1" l="1"/>
  <c r="L18" i="1"/>
  <c r="D10" i="20" l="1"/>
  <c r="D9" i="20"/>
  <c r="C6" i="15"/>
  <c r="G18" i="35"/>
  <c r="G19" i="35" s="1"/>
  <c r="G13" i="35"/>
  <c r="F13" i="35"/>
  <c r="E13" i="35"/>
  <c r="D13" i="35"/>
  <c r="H12" i="35"/>
  <c r="H11" i="35"/>
  <c r="C7" i="35"/>
  <c r="G6" i="35"/>
  <c r="G27" i="33"/>
  <c r="F18" i="33"/>
  <c r="E18" i="33"/>
  <c r="D18" i="33"/>
  <c r="H16" i="33"/>
  <c r="D8" i="33" s="1"/>
  <c r="H15" i="33"/>
  <c r="D7" i="33" s="1"/>
  <c r="H14" i="33"/>
  <c r="D6" i="33" s="1"/>
  <c r="C10" i="33"/>
  <c r="G9" i="33"/>
  <c r="G8" i="33"/>
  <c r="G7" i="33"/>
  <c r="G6" i="33"/>
  <c r="H7" i="33" l="1"/>
  <c r="I7" i="33" s="1"/>
  <c r="H8" i="33"/>
  <c r="I8" i="33" s="1"/>
  <c r="H6" i="33"/>
  <c r="I6" i="33" s="1"/>
  <c r="H13" i="35"/>
  <c r="D6" i="35" s="1"/>
  <c r="D7" i="35" s="1"/>
  <c r="H17" i="33"/>
  <c r="D9" i="33" s="1"/>
  <c r="H9" i="33" s="1"/>
  <c r="I9" i="33" s="1"/>
  <c r="H6" i="35" l="1"/>
  <c r="I6" i="35" s="1"/>
  <c r="I7" i="35" s="1"/>
  <c r="D10" i="33"/>
  <c r="H18" i="33"/>
  <c r="F30" i="1" l="1"/>
  <c r="J30" i="1"/>
  <c r="L30" i="1" s="1"/>
  <c r="H7" i="35"/>
  <c r="H10" i="33"/>
  <c r="I10" i="33"/>
  <c r="J32" i="1" s="1"/>
  <c r="I16" i="4" l="1"/>
  <c r="C9" i="4"/>
  <c r="H15" i="32" l="1"/>
  <c r="G15" i="32"/>
  <c r="F15" i="32"/>
  <c r="E15" i="32"/>
  <c r="D15" i="32"/>
  <c r="I14" i="32"/>
  <c r="D7" i="32" s="1"/>
  <c r="C9" i="32"/>
  <c r="G7" i="32"/>
  <c r="H14" i="21"/>
  <c r="D9" i="32" l="1"/>
  <c r="H7" i="32"/>
  <c r="I15" i="32"/>
  <c r="H9" i="32" l="1"/>
  <c r="I7" i="32"/>
  <c r="I9" i="32" s="1"/>
  <c r="J14" i="1" s="1"/>
  <c r="C9" i="27" l="1"/>
  <c r="D18" i="7"/>
  <c r="E18" i="7"/>
  <c r="F18" i="7"/>
  <c r="G18" i="7"/>
  <c r="C8" i="7"/>
  <c r="E15" i="5" l="1"/>
  <c r="F15" i="5"/>
  <c r="G15" i="5"/>
  <c r="D15" i="5"/>
  <c r="L16" i="1" l="1"/>
  <c r="L19" i="1"/>
  <c r="L32" i="1"/>
  <c r="L14" i="1"/>
  <c r="E14" i="17"/>
  <c r="F14" i="17"/>
  <c r="G14" i="17"/>
  <c r="D14" i="17"/>
  <c r="I10" i="1" l="1"/>
  <c r="J10" i="1" s="1"/>
  <c r="K10" i="1" s="1"/>
  <c r="G13" i="29" l="1"/>
  <c r="F13" i="29"/>
  <c r="E13" i="29"/>
  <c r="D13" i="29"/>
  <c r="H12" i="29"/>
  <c r="H11" i="29"/>
  <c r="D17" i="4"/>
  <c r="I15" i="4"/>
  <c r="D7" i="4" s="1"/>
  <c r="I17" i="4" l="1"/>
  <c r="D15" i="30"/>
  <c r="D20" i="30" s="1"/>
  <c r="H13" i="29"/>
  <c r="D6" i="29" s="1"/>
  <c r="H24" i="4"/>
  <c r="G18" i="29"/>
  <c r="C7" i="29"/>
  <c r="G6" i="29"/>
  <c r="G19" i="29" l="1"/>
  <c r="H6" i="29"/>
  <c r="I6" i="29" s="1"/>
  <c r="D7" i="29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13" i="28"/>
  <c r="G19" i="28"/>
  <c r="H19" i="28"/>
  <c r="F19" i="28"/>
  <c r="E11" i="28"/>
  <c r="D11" i="28"/>
  <c r="C11" i="28"/>
  <c r="D11" i="23"/>
  <c r="D9" i="22"/>
  <c r="D9" i="21"/>
  <c r="D11" i="20"/>
  <c r="D11" i="19"/>
  <c r="C12" i="18"/>
  <c r="D9" i="17"/>
  <c r="D11" i="16"/>
  <c r="D9" i="15"/>
  <c r="I7" i="29" l="1"/>
  <c r="H7" i="29"/>
  <c r="G17" i="23"/>
  <c r="F17" i="23"/>
  <c r="E17" i="23"/>
  <c r="D17" i="23"/>
  <c r="H16" i="23"/>
  <c r="H15" i="23"/>
  <c r="G15" i="22"/>
  <c r="F15" i="22"/>
  <c r="E15" i="22"/>
  <c r="D15" i="22"/>
  <c r="H14" i="22"/>
  <c r="H13" i="22"/>
  <c r="G15" i="21"/>
  <c r="F15" i="21"/>
  <c r="E15" i="21"/>
  <c r="D15" i="21"/>
  <c r="H13" i="21"/>
  <c r="G17" i="20"/>
  <c r="F17" i="20"/>
  <c r="E17" i="20"/>
  <c r="D17" i="20"/>
  <c r="H16" i="20"/>
  <c r="H15" i="20"/>
  <c r="G17" i="19"/>
  <c r="F17" i="19"/>
  <c r="E17" i="19"/>
  <c r="D17" i="19"/>
  <c r="H16" i="19"/>
  <c r="H15" i="19"/>
  <c r="G18" i="18"/>
  <c r="F18" i="18"/>
  <c r="E18" i="18"/>
  <c r="D18" i="18"/>
  <c r="H17" i="18"/>
  <c r="H16" i="18"/>
  <c r="H13" i="17"/>
  <c r="H14" i="17" s="1"/>
  <c r="G17" i="16"/>
  <c r="F17" i="16"/>
  <c r="E17" i="16"/>
  <c r="D17" i="16"/>
  <c r="H16" i="16"/>
  <c r="H15" i="16"/>
  <c r="G15" i="15"/>
  <c r="F15" i="15"/>
  <c r="E15" i="15"/>
  <c r="D15" i="15"/>
  <c r="H14" i="15"/>
  <c r="H13" i="15"/>
  <c r="E16" i="27"/>
  <c r="F16" i="27"/>
  <c r="G16" i="27"/>
  <c r="D16" i="27"/>
  <c r="H14" i="27"/>
  <c r="D7" i="27" s="1"/>
  <c r="H15" i="27"/>
  <c r="D8" i="27" s="1"/>
  <c r="H13" i="27"/>
  <c r="D6" i="27" s="1"/>
  <c r="H16" i="7"/>
  <c r="D6" i="7" s="1"/>
  <c r="H17" i="7"/>
  <c r="D7" i="7" s="1"/>
  <c r="H15" i="7"/>
  <c r="H22" i="16"/>
  <c r="G21" i="27"/>
  <c r="G8" i="27"/>
  <c r="G7" i="27"/>
  <c r="G6" i="27"/>
  <c r="F29" i="1" l="1"/>
  <c r="J29" i="1"/>
  <c r="L29" i="1" s="1"/>
  <c r="E15" i="30"/>
  <c r="D5" i="7"/>
  <c r="D8" i="7" s="1"/>
  <c r="H18" i="7"/>
  <c r="D9" i="27"/>
  <c r="H6" i="27"/>
  <c r="H8" i="27"/>
  <c r="I8" i="27" s="1"/>
  <c r="H7" i="27"/>
  <c r="I7" i="27" s="1"/>
  <c r="G24" i="27"/>
  <c r="H17" i="23"/>
  <c r="H15" i="22"/>
  <c r="H15" i="21"/>
  <c r="H17" i="20"/>
  <c r="H17" i="19"/>
  <c r="H18" i="18"/>
  <c r="H17" i="16"/>
  <c r="H15" i="15"/>
  <c r="H16" i="27"/>
  <c r="H9" i="27" l="1"/>
  <c r="I6" i="27"/>
  <c r="I9" i="27" s="1"/>
  <c r="F32" i="1"/>
  <c r="G8" i="4"/>
  <c r="F31" i="1" l="1"/>
  <c r="J31" i="1"/>
  <c r="L31" i="1" s="1"/>
  <c r="C9" i="15"/>
  <c r="C11" i="16"/>
  <c r="C9" i="17"/>
  <c r="C11" i="19"/>
  <c r="C9" i="21"/>
  <c r="C9" i="22"/>
  <c r="G7" i="23"/>
  <c r="H7" i="23" s="1"/>
  <c r="G8" i="23"/>
  <c r="H8" i="23" s="1"/>
  <c r="G9" i="23"/>
  <c r="H9" i="23" s="1"/>
  <c r="G10" i="23"/>
  <c r="H10" i="23" s="1"/>
  <c r="C11" i="23"/>
  <c r="H26" i="23"/>
  <c r="H23" i="23"/>
  <c r="H25" i="23"/>
  <c r="H24" i="23"/>
  <c r="G7" i="22"/>
  <c r="H7" i="22" s="1"/>
  <c r="G8" i="22"/>
  <c r="H8" i="22" s="1"/>
  <c r="H21" i="22"/>
  <c r="H20" i="22"/>
  <c r="G7" i="21"/>
  <c r="H7" i="21" s="1"/>
  <c r="G8" i="21"/>
  <c r="H8" i="21" s="1"/>
  <c r="H20" i="21"/>
  <c r="H21" i="21"/>
  <c r="G7" i="20"/>
  <c r="H7" i="20" s="1"/>
  <c r="G8" i="20"/>
  <c r="H8" i="20" s="1"/>
  <c r="G9" i="20"/>
  <c r="H9" i="20" s="1"/>
  <c r="G10" i="20"/>
  <c r="H10" i="20" s="1"/>
  <c r="C11" i="20"/>
  <c r="H24" i="20"/>
  <c r="H25" i="20"/>
  <c r="H23" i="20"/>
  <c r="H22" i="20"/>
  <c r="G7" i="19"/>
  <c r="H7" i="19" s="1"/>
  <c r="G8" i="19"/>
  <c r="H8" i="19" s="1"/>
  <c r="G9" i="19"/>
  <c r="H9" i="19" s="1"/>
  <c r="G10" i="19"/>
  <c r="H10" i="19" s="1"/>
  <c r="H22" i="19"/>
  <c r="H24" i="19"/>
  <c r="H25" i="19"/>
  <c r="H23" i="19"/>
  <c r="G7" i="18"/>
  <c r="G8" i="18"/>
  <c r="H8" i="18" s="1"/>
  <c r="G9" i="18"/>
  <c r="H9" i="18" s="1"/>
  <c r="G10" i="18"/>
  <c r="H10" i="18" s="1"/>
  <c r="H26" i="18"/>
  <c r="H25" i="18"/>
  <c r="H24" i="18"/>
  <c r="H23" i="18"/>
  <c r="G7" i="17"/>
  <c r="H7" i="17" s="1"/>
  <c r="G8" i="17"/>
  <c r="H8" i="17" s="1"/>
  <c r="H19" i="17"/>
  <c r="H20" i="17"/>
  <c r="G7" i="16"/>
  <c r="H7" i="16" s="1"/>
  <c r="G8" i="16"/>
  <c r="H8" i="16" s="1"/>
  <c r="G9" i="16"/>
  <c r="H9" i="16" s="1"/>
  <c r="H23" i="16"/>
  <c r="H24" i="16"/>
  <c r="G6" i="15"/>
  <c r="H6" i="15" s="1"/>
  <c r="G7" i="15"/>
  <c r="H7" i="15" s="1"/>
  <c r="H20" i="15"/>
  <c r="H21" i="15"/>
  <c r="G7" i="14"/>
  <c r="H7" i="14" s="1"/>
  <c r="H9" i="14" s="1"/>
  <c r="C9" i="14"/>
  <c r="D9" i="14"/>
  <c r="G15" i="14"/>
  <c r="G16" i="14" s="1"/>
  <c r="G7" i="13"/>
  <c r="H7" i="13" s="1"/>
  <c r="H10" i="13" s="1"/>
  <c r="C10" i="13"/>
  <c r="D10" i="13"/>
  <c r="G16" i="13"/>
  <c r="G17" i="13"/>
  <c r="G7" i="12"/>
  <c r="H7" i="12" s="1"/>
  <c r="H10" i="12" s="1"/>
  <c r="C10" i="12"/>
  <c r="D10" i="12"/>
  <c r="D17" i="12"/>
  <c r="H17" i="12" s="1"/>
  <c r="G23" i="12"/>
  <c r="G26" i="12" s="1"/>
  <c r="G7" i="11"/>
  <c r="H7" i="11" s="1"/>
  <c r="H11" i="11" s="1"/>
  <c r="C11" i="11"/>
  <c r="D11" i="11"/>
  <c r="G20" i="11"/>
  <c r="G21" i="11" s="1"/>
  <c r="D7" i="10"/>
  <c r="G7" i="10"/>
  <c r="G15" i="10"/>
  <c r="G16" i="10" s="1"/>
  <c r="G7" i="9"/>
  <c r="H7" i="9" s="1"/>
  <c r="H13" i="9"/>
  <c r="G20" i="9"/>
  <c r="G21" i="9" s="1"/>
  <c r="G7" i="8"/>
  <c r="H7" i="8" s="1"/>
  <c r="H9" i="8" s="1"/>
  <c r="C9" i="8"/>
  <c r="D9" i="8"/>
  <c r="E9" i="8"/>
  <c r="G15" i="8"/>
  <c r="G16" i="8" s="1"/>
  <c r="D11" i="24"/>
  <c r="F11" i="24"/>
  <c r="C13" i="24"/>
  <c r="G13" i="24"/>
  <c r="G21" i="24"/>
  <c r="G5" i="7"/>
  <c r="H5" i="7" s="1"/>
  <c r="G6" i="7"/>
  <c r="H6" i="7" s="1"/>
  <c r="I6" i="7" s="1"/>
  <c r="G7" i="7"/>
  <c r="H7" i="7" s="1"/>
  <c r="I7" i="7" s="1"/>
  <c r="G28" i="7"/>
  <c r="G30" i="7" s="1"/>
  <c r="D6" i="6"/>
  <c r="F6" i="6"/>
  <c r="C9" i="6"/>
  <c r="G9" i="6"/>
  <c r="G16" i="6"/>
  <c r="G17" i="6" s="1"/>
  <c r="F16" i="1" s="1"/>
  <c r="G6" i="5"/>
  <c r="C9" i="5"/>
  <c r="H14" i="5"/>
  <c r="G22" i="5"/>
  <c r="G23" i="5" s="1"/>
  <c r="G7" i="4"/>
  <c r="E17" i="4"/>
  <c r="F17" i="4"/>
  <c r="F15" i="30" s="1"/>
  <c r="G17" i="4"/>
  <c r="G15" i="30" s="1"/>
  <c r="H17" i="4"/>
  <c r="H15" i="30" s="1"/>
  <c r="H22" i="4"/>
  <c r="H25" i="4" s="1"/>
  <c r="C10" i="1"/>
  <c r="D10" i="1" s="1"/>
  <c r="E10" i="1" s="1"/>
  <c r="F14" i="1"/>
  <c r="G22" i="24" l="1"/>
  <c r="F19" i="1" s="1"/>
  <c r="G18" i="13"/>
  <c r="H21" i="17"/>
  <c r="D12" i="18"/>
  <c r="H7" i="18"/>
  <c r="H12" i="18" s="1"/>
  <c r="J23" i="1" s="1"/>
  <c r="L23" i="1" s="1"/>
  <c r="I5" i="7"/>
  <c r="I8" i="7" s="1"/>
  <c r="J17" i="1" s="1"/>
  <c r="L17" i="1" s="1"/>
  <c r="H8" i="7"/>
  <c r="H15" i="5"/>
  <c r="D6" i="5" s="1"/>
  <c r="G20" i="30"/>
  <c r="H20" i="30"/>
  <c r="E20" i="30"/>
  <c r="H11" i="19"/>
  <c r="J24" i="1" s="1"/>
  <c r="L24" i="1" s="1"/>
  <c r="H22" i="22"/>
  <c r="H26" i="20"/>
  <c r="H22" i="21"/>
  <c r="E13" i="1" s="1"/>
  <c r="K13" i="1" s="1"/>
  <c r="K11" i="1" s="1"/>
  <c r="H7" i="10"/>
  <c r="H9" i="21"/>
  <c r="H22" i="15"/>
  <c r="H9" i="22"/>
  <c r="J27" i="1" s="1"/>
  <c r="L27" i="1" s="1"/>
  <c r="H11" i="20"/>
  <c r="J25" i="1" s="1"/>
  <c r="L25" i="1" s="1"/>
  <c r="H11" i="23"/>
  <c r="J28" i="1" s="1"/>
  <c r="L28" i="1" s="1"/>
  <c r="H9" i="17"/>
  <c r="J22" i="1" s="1"/>
  <c r="L22" i="1" s="1"/>
  <c r="H9" i="15"/>
  <c r="J20" i="1" s="1"/>
  <c r="L20" i="1" s="1"/>
  <c r="H26" i="19"/>
  <c r="H25" i="16"/>
  <c r="H11" i="16"/>
  <c r="J21" i="1" s="1"/>
  <c r="L21" i="1" s="1"/>
  <c r="D8" i="4"/>
  <c r="D9" i="4" s="1"/>
  <c r="J26" i="1" l="1"/>
  <c r="L26" i="1" s="1"/>
  <c r="F28" i="1"/>
  <c r="E11" i="1"/>
  <c r="F22" i="1"/>
  <c r="F23" i="1"/>
  <c r="F26" i="1"/>
  <c r="D9" i="5"/>
  <c r="H6" i="5"/>
  <c r="I6" i="5" s="1"/>
  <c r="I9" i="5" s="1"/>
  <c r="I15" i="30"/>
  <c r="I20" i="30" s="1"/>
  <c r="F25" i="1"/>
  <c r="F20" i="1"/>
  <c r="H8" i="4"/>
  <c r="I8" i="4" s="1"/>
  <c r="F20" i="30"/>
  <c r="F27" i="1"/>
  <c r="F24" i="1"/>
  <c r="H7" i="4"/>
  <c r="F17" i="1"/>
  <c r="F21" i="1"/>
  <c r="F15" i="1" l="1"/>
  <c r="J15" i="1"/>
  <c r="L15" i="1" s="1"/>
  <c r="H9" i="5"/>
  <c r="H9" i="4"/>
  <c r="I7" i="4"/>
  <c r="I9" i="4" s="1"/>
  <c r="D13" i="1" l="1"/>
  <c r="J13" i="1" s="1"/>
  <c r="D11" i="1" l="1"/>
  <c r="L13" i="1"/>
  <c r="L11" i="1" s="1"/>
  <c r="J11" i="1"/>
  <c r="F13" i="1"/>
  <c r="F11" i="1" s="1"/>
</calcChain>
</file>

<file path=xl/comments1.xml><?xml version="1.0" encoding="utf-8"?>
<comments xmlns="http://schemas.openxmlformats.org/spreadsheetml/2006/main">
  <authors>
    <author>Author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-6 արխիվապահ, նստում են կարգադրիչների հետ Բաշինջաղյան 100
</t>
        </r>
      </text>
    </comment>
  </commentList>
</comments>
</file>

<file path=xl/sharedStrings.xml><?xml version="1.0" encoding="utf-8"?>
<sst xmlns="http://schemas.openxmlformats.org/spreadsheetml/2006/main" count="1105" uniqueCount="271">
  <si>
    <t xml:space="preserve">Ð³Ûï³ïáõÇ  ³Ýí³ÝáõÙÁ </t>
  </si>
  <si>
    <t>´Ý³Ï³í³ÛñÁ</t>
  </si>
  <si>
    <t>¸³ÑÉÇ×Ç Ù³Ï»ñ»ëÁ Ù2</t>
  </si>
  <si>
    <t>úñ»ñÇ ù³Ý³Ï</t>
  </si>
  <si>
    <t>1Ù3 ë³Ï³·ÇÝ</t>
  </si>
  <si>
    <t>Ð³ë³Ý»ÉÇù çñÇ ù³Ý³ÏÁ Ù»Ï ÙÇ³íáñÇ Ñ³Ù³ñ /Ù3/</t>
  </si>
  <si>
    <t>ÀÝ¹³Ù»ÝÁ</t>
  </si>
  <si>
    <t>x</t>
  </si>
  <si>
    <t>Ì³é³ÛáõÃÛ³Ý ³Ýí³ÝáõÙÁ</t>
  </si>
  <si>
    <t>â³÷Ç ÙÇ³íáñÁ</t>
  </si>
  <si>
    <t>Øß³ÏíáÕ ï³ñ³ÍùÁ</t>
  </si>
  <si>
    <t>¶ÇÝÁ /¹ñ³Ù/</t>
  </si>
  <si>
    <t>Ð³×³Ë³Ï³ÝáõÃÛáõÝÁ /ï³ñ»Ï³Ý/</t>
  </si>
  <si>
    <t>¶áõÙ³ñÁ
ï³ñ»Ï³Ý /Ñ³½.¹ñ³Ù/</t>
  </si>
  <si>
    <t>ËÙ</t>
  </si>
  <si>
    <t>ùÙ</t>
  </si>
  <si>
    <t>Ð³ëïÇùÝ»ñ ù³Ý³ÏÁ</t>
  </si>
  <si>
    <t>¸³ï³íáñ</t>
  </si>
  <si>
    <t xml:space="preserve"> ÐÐ  í»ñ³ùÝÝÇã  ù³Õ³ù³óÇ³Ï³Ý  ¹³ï³ñ³ÝÇ  í³ñã³Ï³Ý ß»Ýù»ñÇ ¨ ßÇÝáõÃÛáõÝÝ»ñÇ çñÙáõÕ ÏáÛáõÕáõ Ñ³Ù³ñ ³ÝÑñ³Å»ßï Í³Ëë»ñÇ Ñ³ßí³ñÏ</t>
  </si>
  <si>
    <t>Ð³ë³Ý»ÉÇù çñÇ ù³Ý³ÏÁ Ûáõñ³ù³ÝãÛáõñ Ñ³ëïÇù³ÛÇÝ ÙÇ³íáñÇ Ñ³ßíáí  /Ù3/</t>
  </si>
  <si>
    <t>æñÇ û·ï³·áñÍÙ³Ý Ñ³Ù³ñ ³ÝÑñ³Å»ßï ·áõÙ³ñ  9=(5+4/0,8)*6*7*8</t>
  </si>
  <si>
    <t>¶.ÜÅ¹»ÑÇ 23</t>
  </si>
  <si>
    <t>ÒÛ³Ý Ù³ùñáõÙ</t>
  </si>
  <si>
    <t>Ø.Êáñ»Ý³óáõ 162/³</t>
  </si>
  <si>
    <t>ÀÝ¹³Ù»ÝÁ      /հազ. դրամ/</t>
  </si>
  <si>
    <t xml:space="preserve">Ò¨ N 11 </t>
  </si>
  <si>
    <t>Î³é³í³ñÙ³Ý  ³å³ñ³ï</t>
  </si>
  <si>
    <t>Ð ² Þ ì ² ð Î</t>
  </si>
  <si>
    <t>ÐÐ  å»ï³Ï³Ý Ù³ñÙÇÝÝ»ñÇ í³ñã³Ï³Ý ß»Ýù»ñÇ ¨ ßÇÝáõÃÛáõÝÝ»ñÇ 2011 Ãí³Ï³ÝÇ çñÙáõÕ ÏáÛáõÕáõ Ñ³Ù³ñ ³ÝÑñ³Å»ßï  Í³Ëë»ñÇ</t>
  </si>
  <si>
    <t>¸³ÑÉÇ×Ç Ù³Ï»ñ»ëÁ /Ù2/</t>
  </si>
  <si>
    <t>1Ù3 ë³Ï³·ÇÝ /¹ñ³Ù/</t>
  </si>
  <si>
    <t>æñÇ û·ï³·áñÍÙ³Ý Ñ³Ù³ñ ³ÝÑñ³Å»ßï ·áõÙ³ñ /</t>
  </si>
  <si>
    <t>9=(5+4/0,8)*6*7*8</t>
  </si>
  <si>
    <t>ø.ºñ¨³Ý,  Ü³½³ñµ»ÏÛ³Ý  40</t>
  </si>
  <si>
    <t xml:space="preserve"> N</t>
  </si>
  <si>
    <t>¸»½ÇÝý»ÏóÇ³</t>
  </si>
  <si>
    <t>¶ÛáõÉÇù»ËíÛ³Ý 20</t>
  </si>
  <si>
    <t>²Õµ³Ñ³ÝáõÃÛáõÝ ¨ ÓÛ³Ý Ù³ùñáõÙ ï»ËÝÇÏ³ÛÇ ÙÇçáóáí</t>
  </si>
  <si>
    <t>Ð.Ü»ñëÇëÛ³Ý 10</t>
  </si>
  <si>
    <t>¸»½ÇÝë»ÏóÇ³</t>
  </si>
  <si>
    <t>²ñß³ÏáõÝÛ³ó 24/1</t>
  </si>
  <si>
    <t>úïÛ³Ý 53/2</t>
  </si>
  <si>
    <t>ì³ñã³Ï³Ý ¹³ï³ñ³Ý</t>
  </si>
  <si>
    <t>¶.ÜÅ¹»Ñ 23</t>
  </si>
  <si>
    <t>Հ Ա Շ Վ Ա Ր Կ</t>
  </si>
  <si>
    <t>հազ.դրամ</t>
  </si>
  <si>
    <t>Դատական դեպարտամենտ</t>
  </si>
  <si>
    <t>Վճռաբեկ դատարան</t>
  </si>
  <si>
    <t>Վերաքննիչ քաղաքացիական դատարան</t>
  </si>
  <si>
    <t>Վերաքննիչ քրեական դատարան</t>
  </si>
  <si>
    <t>Վարչական վերաքննիչ դատարան</t>
  </si>
  <si>
    <t>Վարչական դատարան</t>
  </si>
  <si>
    <t>Աջափնյակ և Դավթաշեն վարչական շրջանների ընդհանուր իրավասության դատարան</t>
  </si>
  <si>
    <t>Դատական կարգադրիչների ծառայություն</t>
  </si>
  <si>
    <t>Արագածոտնի մարզի ընդհանուր իրավասության դատարան</t>
  </si>
  <si>
    <t>Արարատի և Վայոց Ձորի մարզերի ընդհանուր իրավասության դատարան</t>
  </si>
  <si>
    <t>Արմավիրի մարզի ընդհանուր իրավասության դատարան</t>
  </si>
  <si>
    <t>Գեղարքունիքի մարզի ընդհանուր իրավասության դատարան</t>
  </si>
  <si>
    <t>Լոռու մարզի ընդհանուր իրավասության դատարան</t>
  </si>
  <si>
    <t>Կոտայքի մարզի ընդհանուր իրավասության դատարան</t>
  </si>
  <si>
    <t xml:space="preserve">Շիրակի մարզի ընդհանուր իրավասության դատարան </t>
  </si>
  <si>
    <t xml:space="preserve">Սյունիքի Ùմարզի ընդհանուր իրավասության դատարան </t>
  </si>
  <si>
    <t>Տավուշի մարզի ընդհանուր իրավասության դատարան</t>
  </si>
  <si>
    <t>Հ/Հ</t>
  </si>
  <si>
    <t xml:space="preserve">Ընդամենը </t>
  </si>
  <si>
    <t>Այդ թվում`</t>
  </si>
  <si>
    <t>ÀÝ¹.</t>
  </si>
  <si>
    <t>Î»ÝïñáÝ ¨ Üáñù-Ø³ñ³ß Ñ³Ù.ÁÝ¹Ñ. Çñ³í. ¹³ï.</t>
  </si>
  <si>
    <t>.</t>
  </si>
  <si>
    <t>Ì³é³ÛáÕ</t>
  </si>
  <si>
    <t>î»ËÝÇÏ</t>
  </si>
  <si>
    <t>Î³ñ·³¹ñÇã</t>
  </si>
  <si>
    <t>¸²î²ð²ÜÜºð</t>
  </si>
  <si>
    <t>Դեռատիզացիա և դեզինֆեկցիա</t>
  </si>
  <si>
    <t>Ջուր</t>
  </si>
  <si>
    <t>Ընդամենը</t>
  </si>
  <si>
    <t>Դատարաններ</t>
  </si>
  <si>
    <t>ø.ºñ¨³Ý /îÇ·ñ³Ý Ø»ÍÇ 23/1</t>
  </si>
  <si>
    <t>îíÛ³É ¹³ï³ñ³ÝÇ Ñ³ëïÇùÝ»ñÇ ÙÇ Ù³ëÝ ¿ í»ñóí³Í, ù³ÝÇ áñ ÙÛáõë Ù³ëÁ ï»Õ³Ï³Ûí³Í ¿ ¸.¸»å³ñï³Ù»ÝïáõÙ</t>
  </si>
  <si>
    <t>ԴԱՏԱՐԱՆՆԵՐ</t>
  </si>
  <si>
    <t>Արաբկիր և Քանաքեռ-Զեյթուն ընդհ. իրավ. դատ.</t>
  </si>
  <si>
    <t>Դատական կարգադրիչների ծառայության կենտրոնական մարմին</t>
  </si>
  <si>
    <t>Տվյալ դատարանների համապատասխան հաստիքների վճարը կատարում է տվյալ դատարանը</t>
  </si>
  <si>
    <t>Դատավոր</t>
  </si>
  <si>
    <t>Ծառայող</t>
  </si>
  <si>
    <t>Տեխնիկ</t>
  </si>
  <si>
    <t>Կարգադրիչ</t>
  </si>
  <si>
    <t>Ընդ.</t>
  </si>
  <si>
    <t>ՀՀ  վերաքննիչ  քաղաքացիական  դատարան</t>
  </si>
  <si>
    <t>Բնակավայրը</t>
  </si>
  <si>
    <t>Դահլիճի մակերեսը մ2</t>
  </si>
  <si>
    <t>Հաստիքներ քանակը</t>
  </si>
  <si>
    <t>Օրերի քանակ</t>
  </si>
  <si>
    <t>1մ3 սակագին</t>
  </si>
  <si>
    <t>քմ</t>
  </si>
  <si>
    <t>հ/հ</t>
  </si>
  <si>
    <t>Ծառայության անվանումը</t>
  </si>
  <si>
    <t>Չափի միավորը</t>
  </si>
  <si>
    <t>Մշակվող տարածքը/քմ/</t>
  </si>
  <si>
    <t>Գինը/դրամ/</t>
  </si>
  <si>
    <t>Հաճախականությունը/տարեկան/</t>
  </si>
  <si>
    <t>Գումարը_x000D_
տարեկան /հազ.դրամ/</t>
  </si>
  <si>
    <t xml:space="preserve">Իջևան </t>
  </si>
  <si>
    <t>Նոյեմբերյան</t>
  </si>
  <si>
    <t>Դիլիջան</t>
  </si>
  <si>
    <t>Բերդ</t>
  </si>
  <si>
    <t xml:space="preserve">Նստավայրը </t>
  </si>
  <si>
    <t>Մշակվող տարածքը</t>
  </si>
  <si>
    <t>Գինը /դրամ/</t>
  </si>
  <si>
    <t>Հաճախականությունը /տարեկան/</t>
  </si>
  <si>
    <t>Ք.Կապան</t>
  </si>
  <si>
    <t>Ք.Գորիս</t>
  </si>
  <si>
    <t>Դահլիճի մակերեսը /մ2/</t>
  </si>
  <si>
    <t>1մ3 սակագին /դրամ/</t>
  </si>
  <si>
    <t>Հասանելիք ջրի քանակը մեկ միավորի համար /մ3/</t>
  </si>
  <si>
    <t>Ջրի օգտագործման համար անհրաժեշտ գումար /</t>
  </si>
  <si>
    <t>Գյումրի</t>
  </si>
  <si>
    <t>Մարալիկ</t>
  </si>
  <si>
    <t>Ք.Գյումրի</t>
  </si>
  <si>
    <t>Ք.Մարալիկ</t>
  </si>
  <si>
    <t>Գին /դրամ/</t>
  </si>
  <si>
    <t>Հաճախակա_x000D_
նությունը /տարեկան/</t>
  </si>
  <si>
    <t>Ընդամենը /հազ.դրամ/</t>
  </si>
  <si>
    <t>Ք.Վանաձոր</t>
  </si>
  <si>
    <t>Ք.Ալավերդի</t>
  </si>
  <si>
    <t>Ք.Սպիտակ</t>
  </si>
  <si>
    <t>Ք.Ստեփանավան</t>
  </si>
  <si>
    <t xml:space="preserve">Էջմիածին </t>
  </si>
  <si>
    <t>Արմավիր</t>
  </si>
  <si>
    <t>ք/մ</t>
  </si>
  <si>
    <t>Աշխ. անվանումը</t>
  </si>
  <si>
    <t>չափի միավորը</t>
  </si>
  <si>
    <t>մշակվող տարածքը /քմ/</t>
  </si>
  <si>
    <t>գին /դրամ/</t>
  </si>
  <si>
    <t>հաճախակա_x000D_
նությունը /տարեկան/</t>
  </si>
  <si>
    <t>տարեկան գումարը</t>
  </si>
  <si>
    <t>Տվյալ դատարանի հաստիքների մի մասն է վերցված, քանի որ մյուս մասը տեղակայված է Դ.Դեպարտամենտում</t>
  </si>
  <si>
    <t>109-20Դեպ=89</t>
  </si>
  <si>
    <t>Ք.Արտաշատ</t>
  </si>
  <si>
    <t>Ք.Մասիս</t>
  </si>
  <si>
    <t>Ք. Վայք</t>
  </si>
  <si>
    <t xml:space="preserve">Հայտատուի  անվանումը </t>
  </si>
  <si>
    <t>Հաստիքների քանակը</t>
  </si>
  <si>
    <t>Օրերի քանակը</t>
  </si>
  <si>
    <t>Հասանելիք ջրի քանակաը մեկ միավորի համար /մ3/</t>
  </si>
  <si>
    <t>Ջրի օգտագործման համար անհրաժեշտ գումար /հազ.դրամ/</t>
  </si>
  <si>
    <t>Ք.Էջմիածին</t>
  </si>
  <si>
    <t>Ք.Արմավիր</t>
  </si>
  <si>
    <t>"ՀՀ դատական դեպարտամենտ" ՊԿՀ</t>
  </si>
  <si>
    <t>Դեռատիզացիայի ծախսեր</t>
  </si>
  <si>
    <t>Խմելու ջրի մատակարարման և ջրահեռացման  ծառայությունների ծախսեր</t>
  </si>
  <si>
    <t>ՀՀ վճռաբեկ դատարան</t>
  </si>
  <si>
    <t>ՀՀ վերաքննիչ քրեական դատարան</t>
  </si>
  <si>
    <t>ՀՀ Էրեբունի և Նուբարաշեն համայնքների ընդհանուր իրավասության դատարան</t>
  </si>
  <si>
    <t>Կենտրոն և Նորք-Մարաշ համայնքների ընդհանուր իրավասության դատարան</t>
  </si>
  <si>
    <t>Ավան և Նոր-Նորք համայնքների ընդհանուր իրավասության դատարան</t>
  </si>
  <si>
    <t>Արաբկիր և Քանաքեռ-Զեյթուն համայնքների ընդհանուր իրավասության դատարան</t>
  </si>
  <si>
    <t>Շենգավիթ համայնքի ընդհանուր իրավասության դատարան</t>
  </si>
  <si>
    <t xml:space="preserve">Մալաթիա-Սեբաստիա վարչական շջանի ընդհանուր իրավասության դատարան </t>
  </si>
  <si>
    <t xml:space="preserve"> </t>
  </si>
  <si>
    <t>¸»é³ïÇ½³óÇ³, ¹»é³ïÇ½³óÇ³, ¹»½ÇÝë»ÏóÇ³, ¹»½ÇÝý»ÏóÇ³ ¨ ýáõÙÇ·³óÇáÝ Í³é³ÛáõÃÛáõÝÝ»ñ (ÍË»óÙ³Ý Í³é³ÛáõÃÛáõÝÝ»ñ ³Ùµ³ñ³ÛÇÝ ¨ Ï»Ýó³Õ³ÛÇÝ ÙÇç³ïÝ»ñÇ ¹»Ù)</t>
  </si>
  <si>
    <t xml:space="preserve">   նիստերի երկու դահլիճի ( ընդամենը 120քմ տարածք) ավելացում </t>
  </si>
  <si>
    <t xml:space="preserve"> երկու դատավորի   + վեց դատ. Ծառայողի ավելացում </t>
  </si>
  <si>
    <t xml:space="preserve">   նիստերի երկու դահլիճի ( ընդամենը 80քմ տարածք) ավելացում </t>
  </si>
  <si>
    <t>94-16Դեպ=78</t>
  </si>
  <si>
    <t>Հաստիքային միավորներով հաշվ. գումար 9=(5ս+4ս/0.8)*6ս*7ս*8ս</t>
  </si>
  <si>
    <t>Ջրի օգտագործման համար տարեկան անհրաժեշտ գումար /հազ.դրամ/</t>
  </si>
  <si>
    <t>Ք.Երևան Թբիլիսյան խճ.3/9</t>
  </si>
  <si>
    <t>ք.Երևան Վ.Սարգսյան 5</t>
  </si>
  <si>
    <t>Մ.Խորենացու 162/ա</t>
  </si>
  <si>
    <t>Տիգրան Մեծի 23/1</t>
  </si>
  <si>
    <t>Նազարբեկյան  40</t>
  </si>
  <si>
    <t>Գյուլիքեխվյան 20</t>
  </si>
  <si>
    <t>Հ.Ներսիսյան 10</t>
  </si>
  <si>
    <t>Արշակունյաց 24/1</t>
  </si>
  <si>
    <t>Դեռատիզացիա, դեռատիզացիա, դեզինսեկցիա, դեզինֆեկցիա և ֆումիգացիոն ծառայություններ (ծխեցման ծառայություններ ամբարային և կենցաղային միջատների դեմ)</t>
  </si>
  <si>
    <t>Ընդամենը      /հազ. դրամ/</t>
  </si>
  <si>
    <t>Դեռատիզացիա, դեռատիզացիա, դեզինսեկցիա, դեզինֆեկցիա և ֆումիգացիոն ծառայություններ (ծխեցման ծառայություններ ամբարային և կենցաղային միջատների դեմ) Էրեբունի նստավայր</t>
  </si>
  <si>
    <t>Դեռատիզացիա, դեռատիզացիա, դեզինսեկցիա, դեզինֆեկցիա և ֆումիգացիոն ծառայություններ (ծխեցման ծառայություններ ամբարային և կենցաղային միջատների դեմ) Կենտրոն նստավայր</t>
  </si>
  <si>
    <t>Դեռատիզացիա, դեռատիզացիա, դեզինսեկցիա, դեզինֆեկցիա և ֆումիգացիոն ծառայություններ (ծխեցման ծառայություններ ամբարային և կենցաղային միջատների դեմ) Ավան նստավայր</t>
  </si>
  <si>
    <t>Դեռատիզացիա, դեռատիզացիա, դեզինսեկցիա, դեզինֆեկցիա և ֆումիգացիոն ծառայություններ (ծխեցման ծառայություններ ամբարային և կենցաղային միջատների դեմ) Շենգավիթ նստավայր</t>
  </si>
  <si>
    <t>Դեռատիզացիա, դեռատիզացիա, դեզինսեկցիա, դեզինֆեկցիա և ֆումիգացիոն ծառայություններ (ծխեցման ծառայություններ ամբարային և կենցաղային միջատների դեմ) Արաբկիր և Քանաքեռ-Զեյթուն նստավայր</t>
  </si>
  <si>
    <t>Աշտարակ</t>
  </si>
  <si>
    <t>Ապարան</t>
  </si>
  <si>
    <t xml:space="preserve">Ք. Աշտարակ </t>
  </si>
  <si>
    <t>Ք. Ապարան</t>
  </si>
  <si>
    <t>Մշակվող տարածքը /քմ/</t>
  </si>
  <si>
    <t>Գումարը
տարեկան /հազ.դրամ/</t>
  </si>
  <si>
    <t>Ք.  Վայք</t>
  </si>
  <si>
    <t>Ք.Ճամբարակ</t>
  </si>
  <si>
    <t>Ք.Վարդենիս</t>
  </si>
  <si>
    <t>Ք.Սևան</t>
  </si>
  <si>
    <t>Ք.Գավառ</t>
  </si>
  <si>
    <t>Գավառ</t>
  </si>
  <si>
    <t>Սևան</t>
  </si>
  <si>
    <t>Վարդենիս</t>
  </si>
  <si>
    <t>Ճամբարակ</t>
  </si>
  <si>
    <t>Ք.Եղվարդ</t>
  </si>
  <si>
    <t>Ք.Չարենցավան</t>
  </si>
  <si>
    <t>Ք. Հրազդան</t>
  </si>
  <si>
    <t>Ք. Աբովյան</t>
  </si>
  <si>
    <t>Հաճախակա
նությունը /տարեկան/</t>
  </si>
  <si>
    <t>Ք. Նոյեմբերյան</t>
  </si>
  <si>
    <t>Ք. Բերդ</t>
  </si>
  <si>
    <t>Ք. Դիլիջան</t>
  </si>
  <si>
    <t xml:space="preserve">Ք. Իջևան </t>
  </si>
  <si>
    <t>Վերաքննիչ քաղաքացիական</t>
  </si>
  <si>
    <t>Վերաքննիչ քրեական</t>
  </si>
  <si>
    <t>Վարչական</t>
  </si>
  <si>
    <t>Կենտրոն նստավայր</t>
  </si>
  <si>
    <t>Էրեբունի նստավայր</t>
  </si>
  <si>
    <t>Ավան նստավայր</t>
  </si>
  <si>
    <t>Շենգավիթ նստավայր</t>
  </si>
  <si>
    <t>Արաբկիր նստավայր</t>
  </si>
  <si>
    <t>Հ Ա Մ Ե Մ Ա Տ Ա Կ Ա Ն</t>
  </si>
  <si>
    <t>ՀՀ  դատական իշխանության մարմինների 2018-2019 թվականների կոմունալ ծառայությունների վճարների</t>
  </si>
  <si>
    <t>2018 µÛáõç»</t>
  </si>
  <si>
    <t>2018 Ñ³ïÏ³óí³Í</t>
  </si>
  <si>
    <t>Էրեբունի և Նուբարաշեն վարչական շրջանների ընդհանուր իրավասության դատարան</t>
  </si>
  <si>
    <t>Կենտրոն և Նորք-Մարաշ վարչական շրջանների ընդհանուր իրավասության դատարան</t>
  </si>
  <si>
    <t>Ավան և Նոր Նորք վարչական շրջանների ընդհանուր իրավասության դատարան</t>
  </si>
  <si>
    <t>Արաբկիր և Քանաքեռ-Զեյթուն վարչական շրջանների ընդհանուր իրավասության դատարան</t>
  </si>
  <si>
    <t>Շենգավիթ վարչական շրջանի ընդհանուր իրավասության դատարան</t>
  </si>
  <si>
    <t>Մալաթիա-Սեբաստիա վարչական շրջանի ընդհանուր իրավասության դատարան</t>
  </si>
  <si>
    <t>Սնանկության դատարան</t>
  </si>
  <si>
    <t>ԲԴԽ</t>
  </si>
  <si>
    <t>"ԲԴԽ և ՀՀդատարաններ</t>
  </si>
  <si>
    <t>ԲԴԽ և ՀՀ  դատական դեպարտամենտի կենտրոնական մարմին</t>
  </si>
  <si>
    <t>ԲԴԽ անդամ և հայեցողական պաշտոն</t>
  </si>
  <si>
    <t>Նստավայր</t>
  </si>
  <si>
    <t>ՀՀ դատական դեպարտամենտի կենտրոնական մարմին</t>
  </si>
  <si>
    <t>Դեռատիզացիա, դեզինսեկցիա, և ֆումիգացիոն ծառայություններ (ծխեցման ծառայություններ ամբարային և կենցաղային միջատների դեմ)</t>
  </si>
  <si>
    <t>ք.Երևան Օտյան 53/2</t>
  </si>
  <si>
    <t>Երևան քաղաքի առաջին ատյանի ընդհանուր իրավասության դատարան</t>
  </si>
  <si>
    <t>ՀՀ Արարատի և Վայոց ձորի մարզերի առաջին ատյանի ընդհանուր իրավասության դատարան</t>
  </si>
  <si>
    <t>ՀՀ Արմավիրի մարզի առաջին ատյանի ընդհանուր իրավասության առաջին ատյանի դատարան</t>
  </si>
  <si>
    <t>ՀՀ  Գեղարքունիքի մարզի առաջին ատյանի ընդհանուր իրավասության դատարան</t>
  </si>
  <si>
    <t>ՀՀ  Լոռու մարզի առաջին ատյանի ընդհանուր իրավասության դատարան</t>
  </si>
  <si>
    <t>ՀՀ  Շիրակի մարզի առաջին ատյանի ընդհանուր իրավասության դատարան</t>
  </si>
  <si>
    <t>ՀՀ Սյունիքի մարզի առաջին ատյանի ընդհանուր իրավասության դատարան</t>
  </si>
  <si>
    <t>ՀՀ Տավուշի մարզի առաջին ատյանի ընդհանուր իրավասության դատարան</t>
  </si>
  <si>
    <t>ՀՀ Կոտայքի մարզի առաջին ատյանի ընդհանուր իրավասության դատարան</t>
  </si>
  <si>
    <t>ՀՀ Արագածոտնի մարզի առաջին ատյանի ընդհանուր իրավասության դատարան</t>
  </si>
  <si>
    <t>Հակակոռուպցիոն դատարան</t>
  </si>
  <si>
    <t>Գ.Նժդեհ 23-Վեր.Քաղ.</t>
  </si>
  <si>
    <t>Գ.Նժդեհ 23-Վեր.Քր.</t>
  </si>
  <si>
    <t>Գ.Նժդեհ 23-Վարչական</t>
  </si>
  <si>
    <t>Աջափնյակ-2 նստավայր</t>
  </si>
  <si>
    <t>Աջափնյակ-1 նստավայր</t>
  </si>
  <si>
    <t>Ք.Երևան Բաշինջաղյան 100</t>
  </si>
  <si>
    <t>ք.Երևան Կորյունի 15/1, 17</t>
  </si>
  <si>
    <t>ԲԴԽ և Դատական դեպարտամենտ</t>
  </si>
  <si>
    <t>Վերաքննիչ վարչական դատարան</t>
  </si>
  <si>
    <t>Վերաքննիչ հակակոռուպցիոն դատարան</t>
  </si>
  <si>
    <t>ք.Երևան Արա Սարգսյան 5/1</t>
  </si>
  <si>
    <t>Երևան քաղաքի առաջին ատյանի ընդհանուր իրավասության քաղաքացիական դատարան</t>
  </si>
  <si>
    <t>Հալաբյան 41ա</t>
  </si>
  <si>
    <t>Արագածոտնի մարզի առաջին ատյանի ընդհանուր իրավասության դատարան</t>
  </si>
  <si>
    <t>Արարատի և Վայոց Ձորի մարզերի առաջին ատյանի ընդհանուր իրավասության դատարան</t>
  </si>
  <si>
    <t>Արմավիրի մարզի առաջին ատյանի ընդհանուր իրավասության դատարան</t>
  </si>
  <si>
    <t>Գեղարքունիքի մարզի առաջին ատյանի ընդհանուր իրավասության դատարան</t>
  </si>
  <si>
    <t>Լոռու մարզի առաջին ատյանի ընդհանուր իրավասության դատարան</t>
  </si>
  <si>
    <t>Կոտայքի մարզի առաջին ատյանի ընդհանուր իրավասության դատարան</t>
  </si>
  <si>
    <t xml:space="preserve">Շիրակի մարզի առաջին ատյանի ընդհանուր իրավասության դատարան </t>
  </si>
  <si>
    <t xml:space="preserve">Սյունիքի մարզի առաջին ատյանի ընդհանուր իրավասության դատարան </t>
  </si>
  <si>
    <t>Տավուշի մարզի առաջին ատյանի ընդհանուր իրավասության դատարան</t>
  </si>
  <si>
    <t>Երևան քաղաքի առաջին ատյանի ընդհանուր իրավասության քրեական դատարան</t>
  </si>
  <si>
    <t>Դեռատիզացիա, դեռատիզացիա, դեզինսեկցիա, դեզինֆեկցիա և ֆումիգացիոն ծառայություններ (ծխեցման ծառայություններ ամբարային և կենցաղային միջատների դեմ) Աջափնյակ-1 նստավայր</t>
  </si>
  <si>
    <t>Դեռատիզացիա, դեռատիզացիա, դեզինսեկցիա, դեզինֆեկցիա և ֆումիգացիոն ծառայություններ (ծխեցման ծառայություններ ամբարային և կենցաղային միջատների դեմ) Աջափնյակ-2 նստավայր</t>
  </si>
  <si>
    <t>ԲԴԽ անդամ</t>
  </si>
  <si>
    <t>ՀՀ  դատական իշխանության մարմինների 2026 թվականի կոմունալ ծառայությունների վճարների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</si>
</sst>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"/>
    <numFmt numFmtId="167" formatCode="#,##0.0_р_."/>
    <numFmt numFmtId="168" formatCode="#,#00"/>
    <numFmt numFmtId="169" formatCode="#,##0.0"/>
  </numFmts>
  <fonts count="104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Arial Armenian"/>
      <family val="2"/>
    </font>
    <font>
      <sz val="11"/>
      <color indexed="8"/>
      <name val="MS Sans Serif"/>
      <family val="2"/>
      <charset val="204"/>
    </font>
    <font>
      <sz val="12"/>
      <name val="Times Armenian"/>
      <family val="1"/>
    </font>
    <font>
      <sz val="12"/>
      <color indexed="8"/>
      <name val="Times Armenian"/>
      <family val="1"/>
    </font>
    <font>
      <sz val="10"/>
      <name val="Times Armenian"/>
      <family val="1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Times Armenian"/>
      <family val="2"/>
    </font>
    <font>
      <sz val="11"/>
      <color indexed="8"/>
      <name val="Calibri"/>
      <family val="2"/>
      <charset val="204"/>
    </font>
    <font>
      <sz val="10"/>
      <color indexed="8"/>
      <name val="MS Sans Serif"/>
      <family val="2"/>
      <charset val="204"/>
    </font>
    <font>
      <sz val="10"/>
      <color indexed="8"/>
      <name val="MS Sans Serif"/>
      <family val="2"/>
    </font>
    <font>
      <u/>
      <sz val="10"/>
      <color indexed="12"/>
      <name val="Arial Armenian"/>
      <family val="2"/>
    </font>
    <font>
      <u/>
      <sz val="10"/>
      <color indexed="36"/>
      <name val="Arial Armenian"/>
      <family val="2"/>
    </font>
    <font>
      <sz val="10"/>
      <name val="Arial Armenian"/>
      <family val="2"/>
    </font>
    <font>
      <b/>
      <sz val="10"/>
      <name val="Arial Armenian"/>
      <family val="2"/>
    </font>
    <font>
      <sz val="10"/>
      <name val="Arial LatArm"/>
      <family val="2"/>
    </font>
    <font>
      <b/>
      <sz val="10"/>
      <color indexed="8"/>
      <name val="Arial Armenian"/>
      <family val="2"/>
    </font>
    <font>
      <sz val="8"/>
      <name val="Arial LatArm"/>
      <family val="2"/>
    </font>
    <font>
      <b/>
      <sz val="8"/>
      <name val="Arial LatArm"/>
      <family val="2"/>
    </font>
    <font>
      <sz val="10"/>
      <color indexed="8"/>
      <name val="Arial LatArm"/>
      <family val="2"/>
    </font>
    <font>
      <sz val="9"/>
      <name val="Arial LatArm"/>
      <family val="2"/>
    </font>
    <font>
      <b/>
      <sz val="10"/>
      <name val="Arial LatArm"/>
      <family val="2"/>
    </font>
    <font>
      <b/>
      <sz val="9"/>
      <name val="Arial LatArm"/>
      <family val="2"/>
    </font>
    <font>
      <sz val="10"/>
      <name val="Arial Cyr"/>
      <family val="2"/>
    </font>
    <font>
      <b/>
      <sz val="10"/>
      <color indexed="8"/>
      <name val="Arial LatArm"/>
      <family val="2"/>
    </font>
    <font>
      <sz val="10"/>
      <color indexed="8"/>
      <name val="Arial Armenian"/>
      <family val="2"/>
    </font>
    <font>
      <b/>
      <sz val="10"/>
      <name val="Times Armenian"/>
      <family val="1"/>
    </font>
    <font>
      <b/>
      <sz val="10"/>
      <name val="Arial"/>
      <family val="2"/>
      <charset val="204"/>
    </font>
    <font>
      <b/>
      <sz val="8"/>
      <name val="Arial Armenian"/>
      <family val="2"/>
    </font>
    <font>
      <sz val="9"/>
      <name val="Arial Armenian"/>
      <family val="2"/>
    </font>
    <font>
      <u/>
      <sz val="10"/>
      <name val="Arial Armenian"/>
      <family val="2"/>
    </font>
    <font>
      <sz val="12"/>
      <name val="Arial Armenian"/>
      <family val="2"/>
    </font>
    <font>
      <b/>
      <sz val="9"/>
      <name val="Arial Armenian"/>
      <family val="2"/>
    </font>
    <font>
      <b/>
      <sz val="12"/>
      <name val="Arial Armenian"/>
      <family val="2"/>
    </font>
    <font>
      <sz val="9"/>
      <name val="Times Armenian"/>
      <family val="1"/>
    </font>
    <font>
      <b/>
      <sz val="9"/>
      <name val="Times Armenian"/>
      <family val="1"/>
    </font>
    <font>
      <sz val="9"/>
      <name val="MS Sans Serif"/>
      <family val="2"/>
      <charset val="204"/>
    </font>
    <font>
      <sz val="10"/>
      <name val="Arial"/>
      <family val="2"/>
      <charset val="204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10"/>
      <color indexed="8"/>
      <name val="GHEA Grapalat"/>
      <family val="3"/>
    </font>
    <font>
      <sz val="10"/>
      <name val="GHEA Grapalat"/>
      <family val="3"/>
    </font>
    <font>
      <b/>
      <sz val="11"/>
      <name val="GHEA Grapalat"/>
      <family val="3"/>
    </font>
    <font>
      <sz val="8"/>
      <name val="GHEA Grapalat"/>
      <family val="3"/>
    </font>
    <font>
      <sz val="11"/>
      <name val="GHEA Grapalat"/>
      <family val="3"/>
    </font>
    <font>
      <sz val="9.5"/>
      <name val="GHEA Grapalat"/>
      <family val="3"/>
    </font>
    <font>
      <b/>
      <sz val="12"/>
      <color indexed="10"/>
      <name val="GHEA Grapalat"/>
      <family val="3"/>
    </font>
    <font>
      <b/>
      <sz val="8"/>
      <name val="GHEA Grapalat"/>
      <family val="3"/>
    </font>
    <font>
      <b/>
      <sz val="11"/>
      <color indexed="10"/>
      <name val="GHEA Grapalat"/>
      <family val="3"/>
    </font>
    <font>
      <sz val="12"/>
      <name val="GHEA Grapalat"/>
      <family val="3"/>
    </font>
    <font>
      <b/>
      <sz val="10"/>
      <name val="GHEA Grapalat"/>
      <family val="3"/>
    </font>
    <font>
      <b/>
      <i/>
      <sz val="14"/>
      <name val="GHEA Grapalat"/>
      <family val="3"/>
    </font>
    <font>
      <sz val="9"/>
      <name val="GHEA Grapalat"/>
      <family val="3"/>
    </font>
    <font>
      <b/>
      <sz val="10"/>
      <name val="Arial"/>
      <family val="2"/>
    </font>
    <font>
      <b/>
      <sz val="9"/>
      <name val="GHEA Grapalat"/>
      <family val="3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sz val="9"/>
      <color rgb="FFFF0000"/>
      <name val="Arial Armenian"/>
      <family val="2"/>
    </font>
    <font>
      <b/>
      <sz val="9"/>
      <color rgb="FFFF0000"/>
      <name val="Arial Armenian"/>
      <family val="2"/>
    </font>
    <font>
      <sz val="10"/>
      <color rgb="FF7030A0"/>
      <name val="Arial LatArm"/>
      <family val="2"/>
    </font>
    <font>
      <u/>
      <sz val="10"/>
      <name val="GHEA Grapalat"/>
      <family val="3"/>
    </font>
    <font>
      <sz val="10"/>
      <color rgb="FF7030A0"/>
      <name val="GHEA Grapalat"/>
      <family val="3"/>
    </font>
    <font>
      <sz val="9"/>
      <color indexed="8"/>
      <name val="GHEA Grapalat"/>
      <family val="3"/>
    </font>
    <font>
      <sz val="10"/>
      <color rgb="FFFF0000"/>
      <name val="GHEA Grapalat"/>
      <family val="3"/>
    </font>
    <font>
      <sz val="11"/>
      <color theme="1"/>
      <name val="GHEA Grapalat"/>
      <family val="3"/>
    </font>
    <font>
      <b/>
      <sz val="12"/>
      <name val="GHEA Grapalat"/>
      <family val="3"/>
    </font>
    <font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b/>
      <sz val="9"/>
      <color indexed="10"/>
      <name val="GHEA Grapalat"/>
      <family val="3"/>
    </font>
    <font>
      <sz val="9"/>
      <color rgb="FFFF0000"/>
      <name val="GHEA Grapalat"/>
      <family val="3"/>
    </font>
    <font>
      <b/>
      <sz val="9"/>
      <color rgb="FFFF0000"/>
      <name val="GHEA Grapalat"/>
      <family val="3"/>
    </font>
    <font>
      <sz val="12"/>
      <color indexed="8"/>
      <name val="GHEA Grapalat"/>
      <family val="3"/>
    </font>
    <font>
      <b/>
      <sz val="11"/>
      <color theme="1"/>
      <name val="GHEA Grapalat"/>
      <family val="3"/>
    </font>
    <font>
      <b/>
      <i/>
      <sz val="11"/>
      <name val="GHEA Grapalat"/>
      <family val="3"/>
    </font>
    <font>
      <b/>
      <sz val="11"/>
      <color rgb="FF7030A0"/>
      <name val="GHEA Grapalat"/>
      <family val="3"/>
    </font>
    <font>
      <b/>
      <i/>
      <sz val="10"/>
      <color rgb="FF7030A0"/>
      <name val="GHEA Grapalat"/>
      <family val="3"/>
    </font>
    <font>
      <b/>
      <sz val="11"/>
      <color theme="1"/>
      <name val="Calibri"/>
      <family val="2"/>
      <scheme val="minor"/>
    </font>
    <font>
      <sz val="11"/>
      <color theme="1"/>
      <name val="Arial Armenian"/>
      <family val="2"/>
    </font>
    <font>
      <b/>
      <i/>
      <sz val="11"/>
      <name val="Arial Armenian"/>
      <family val="2"/>
    </font>
    <font>
      <b/>
      <sz val="11"/>
      <color rgb="FF7030A0"/>
      <name val="Calibri"/>
      <family val="2"/>
      <scheme val="minor"/>
    </font>
    <font>
      <sz val="10"/>
      <color rgb="FF7030A0"/>
      <name val="Arial Armenian"/>
      <family val="2"/>
    </font>
    <font>
      <sz val="12"/>
      <color indexed="10"/>
      <name val="GHEA Grapalat"/>
      <family val="3"/>
    </font>
    <font>
      <sz val="12"/>
      <color rgb="FF7030A0"/>
      <name val="GHEA Grapalat"/>
      <family val="3"/>
    </font>
    <font>
      <b/>
      <sz val="10"/>
      <color rgb="FFFF0000"/>
      <name val="GHEA Grapalat"/>
      <family val="3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0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42" fillId="3" borderId="0" applyNumberFormat="0" applyBorder="0" applyAlignment="0" applyProtection="0"/>
    <xf numFmtId="0" fontId="43" fillId="20" borderId="1" applyNumberFormat="0" applyAlignment="0" applyProtection="0"/>
    <xf numFmtId="0" fontId="44" fillId="21" borderId="2" applyNumberFormat="0" applyAlignment="0" applyProtection="0"/>
    <xf numFmtId="165" fontId="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50" fillId="7" borderId="1" applyNumberFormat="0" applyAlignment="0" applyProtection="0"/>
    <xf numFmtId="0" fontId="51" fillId="0" borderId="6" applyNumberFormat="0" applyFill="0" applyAlignment="0" applyProtection="0"/>
    <xf numFmtId="0" fontId="52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72" fillId="0" borderId="0"/>
    <xf numFmtId="0" fontId="9" fillId="0" borderId="0"/>
    <xf numFmtId="0" fontId="8" fillId="0" borderId="0"/>
    <xf numFmtId="0" fontId="73" fillId="0" borderId="0"/>
    <xf numFmtId="0" fontId="10" fillId="0" borderId="0"/>
    <xf numFmtId="0" fontId="8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2" fillId="0" borderId="0"/>
    <xf numFmtId="0" fontId="11" fillId="0" borderId="0"/>
    <xf numFmtId="0" fontId="8" fillId="0" borderId="0"/>
    <xf numFmtId="0" fontId="1" fillId="0" borderId="0"/>
    <xf numFmtId="0" fontId="10" fillId="23" borderId="7" applyNumberFormat="0" applyFont="0" applyAlignment="0" applyProtection="0"/>
    <xf numFmtId="0" fontId="53" fillId="20" borderId="8" applyNumberFormat="0" applyAlignment="0" applyProtection="0"/>
    <xf numFmtId="9" fontId="8" fillId="0" borderId="0" applyFont="0" applyFill="0" applyBorder="0" applyAlignment="0" applyProtection="0"/>
    <xf numFmtId="0" fontId="13" fillId="0" borderId="0"/>
    <xf numFmtId="0" fontId="54" fillId="0" borderId="0" applyNumberFormat="0" applyFill="0" applyBorder="0" applyAlignment="0" applyProtection="0"/>
    <xf numFmtId="0" fontId="55" fillId="0" borderId="9" applyNumberFormat="0" applyFill="0" applyAlignment="0" applyProtection="0"/>
    <xf numFmtId="0" fontId="56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0" fontId="1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4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6" fillId="0" borderId="0"/>
    <xf numFmtId="0" fontId="26" fillId="0" borderId="0"/>
    <xf numFmtId="0" fontId="15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0" fontId="12" fillId="0" borderId="0"/>
    <xf numFmtId="0" fontId="12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72" fillId="0" borderId="0"/>
    <xf numFmtId="0" fontId="72" fillId="0" borderId="0"/>
    <xf numFmtId="0" fontId="72" fillId="0" borderId="0"/>
  </cellStyleXfs>
  <cellXfs count="845">
    <xf numFmtId="0" fontId="0" fillId="0" borderId="0" xfId="0"/>
    <xf numFmtId="0" fontId="2" fillId="0" borderId="0" xfId="65" applyFont="1"/>
    <xf numFmtId="0" fontId="3" fillId="0" borderId="0" xfId="65" applyFont="1"/>
    <xf numFmtId="0" fontId="4" fillId="0" borderId="0" xfId="65" applyFont="1" applyBorder="1"/>
    <xf numFmtId="0" fontId="4" fillId="0" borderId="0" xfId="65" applyFont="1"/>
    <xf numFmtId="0" fontId="4" fillId="0" borderId="10" xfId="65" applyFont="1" applyBorder="1" applyAlignment="1">
      <alignment horizontal="center"/>
    </xf>
    <xf numFmtId="0" fontId="4" fillId="0" borderId="10" xfId="65" applyFont="1" applyBorder="1" applyAlignment="1">
      <alignment wrapText="1"/>
    </xf>
    <xf numFmtId="166" fontId="6" fillId="0" borderId="0" xfId="65" applyNumberFormat="1" applyFont="1" applyFill="1" applyBorder="1" applyAlignment="1">
      <alignment vertical="center"/>
    </xf>
    <xf numFmtId="0" fontId="16" fillId="0" borderId="0" xfId="65" applyFont="1"/>
    <xf numFmtId="0" fontId="18" fillId="0" borderId="0" xfId="65" applyFont="1"/>
    <xf numFmtId="0" fontId="21" fillId="24" borderId="10" xfId="65" applyFont="1" applyFill="1" applyBorder="1" applyAlignment="1">
      <alignment horizontal="center" vertical="center" wrapText="1"/>
    </xf>
    <xf numFmtId="166" fontId="21" fillId="0" borderId="10" xfId="65" applyNumberFormat="1" applyFont="1" applyBorder="1" applyAlignment="1">
      <alignment horizontal="center" vertical="center" wrapText="1"/>
    </xf>
    <xf numFmtId="0" fontId="21" fillId="0" borderId="10" xfId="65" applyFont="1" applyBorder="1" applyAlignment="1">
      <alignment horizontal="center"/>
    </xf>
    <xf numFmtId="0" fontId="21" fillId="0" borderId="10" xfId="65" applyFont="1" applyBorder="1" applyAlignment="1">
      <alignment horizontal="center" wrapText="1"/>
    </xf>
    <xf numFmtId="0" fontId="22" fillId="0" borderId="10" xfId="65" applyFont="1" applyBorder="1" applyAlignment="1">
      <alignment horizontal="center"/>
    </xf>
    <xf numFmtId="166" fontId="22" fillId="0" borderId="10" xfId="65" applyNumberFormat="1" applyFont="1" applyBorder="1" applyAlignment="1">
      <alignment horizontal="center"/>
    </xf>
    <xf numFmtId="0" fontId="20" fillId="0" borderId="10" xfId="65" applyFont="1" applyBorder="1" applyAlignment="1">
      <alignment horizontal="left" wrapText="1"/>
    </xf>
    <xf numFmtId="0" fontId="20" fillId="0" borderId="10" xfId="65" applyFont="1" applyBorder="1" applyAlignment="1">
      <alignment horizontal="center" wrapText="1"/>
    </xf>
    <xf numFmtId="0" fontId="18" fillId="0" borderId="10" xfId="65" applyFont="1" applyBorder="1" applyAlignment="1">
      <alignment horizontal="center"/>
    </xf>
    <xf numFmtId="0" fontId="18" fillId="0" borderId="10" xfId="65" applyFont="1" applyBorder="1"/>
    <xf numFmtId="0" fontId="24" fillId="0" borderId="10" xfId="65" applyFont="1" applyBorder="1" applyAlignment="1">
      <alignment horizontal="center"/>
    </xf>
    <xf numFmtId="0" fontId="18" fillId="0" borderId="0" xfId="96" applyFont="1"/>
    <xf numFmtId="0" fontId="18" fillId="0" borderId="10" xfId="96" applyFont="1" applyBorder="1" applyAlignment="1">
      <alignment horizontal="center" vertical="center" wrapText="1"/>
    </xf>
    <xf numFmtId="0" fontId="18" fillId="0" borderId="10" xfId="96" applyFont="1" applyBorder="1" applyAlignment="1">
      <alignment horizontal="center"/>
    </xf>
    <xf numFmtId="0" fontId="1" fillId="0" borderId="0" xfId="65"/>
    <xf numFmtId="0" fontId="12" fillId="0" borderId="0" xfId="65" applyFont="1"/>
    <xf numFmtId="0" fontId="24" fillId="0" borderId="10" xfId="96" applyFont="1" applyBorder="1" applyAlignment="1">
      <alignment horizontal="justify"/>
    </xf>
    <xf numFmtId="0" fontId="22" fillId="0" borderId="0" xfId="65" applyFont="1"/>
    <xf numFmtId="0" fontId="12" fillId="0" borderId="10" xfId="65" applyFont="1" applyBorder="1" applyAlignment="1">
      <alignment horizontal="center"/>
    </xf>
    <xf numFmtId="0" fontId="8" fillId="0" borderId="0" xfId="65" applyFont="1"/>
    <xf numFmtId="0" fontId="18" fillId="24" borderId="10" xfId="65" applyFont="1" applyFill="1" applyBorder="1" applyAlignment="1">
      <alignment horizontal="center"/>
    </xf>
    <xf numFmtId="0" fontId="24" fillId="24" borderId="10" xfId="65" applyFont="1" applyFill="1" applyBorder="1" applyAlignment="1">
      <alignment horizontal="center" vertical="center" wrapText="1"/>
    </xf>
    <xf numFmtId="166" fontId="17" fillId="0" borderId="10" xfId="65" applyNumberFormat="1" applyFont="1" applyBorder="1" applyAlignment="1">
      <alignment horizontal="center" vertical="center" wrapText="1"/>
    </xf>
    <xf numFmtId="0" fontId="24" fillId="0" borderId="10" xfId="65" applyFont="1" applyBorder="1" applyAlignment="1">
      <alignment horizontal="center" wrapText="1"/>
    </xf>
    <xf numFmtId="166" fontId="12" fillId="0" borderId="10" xfId="65" applyNumberFormat="1" applyFont="1" applyBorder="1" applyAlignment="1">
      <alignment horizontal="center"/>
    </xf>
    <xf numFmtId="0" fontId="18" fillId="0" borderId="10" xfId="65" applyFont="1" applyBorder="1" applyAlignment="1">
      <alignment horizontal="left" wrapText="1"/>
    </xf>
    <xf numFmtId="0" fontId="18" fillId="0" borderId="10" xfId="65" applyFont="1" applyBorder="1" applyAlignment="1">
      <alignment horizontal="center" wrapText="1"/>
    </xf>
    <xf numFmtId="0" fontId="18" fillId="24" borderId="10" xfId="65" applyFont="1" applyFill="1" applyBorder="1" applyAlignment="1">
      <alignment horizontal="center" wrapText="1"/>
    </xf>
    <xf numFmtId="1" fontId="16" fillId="0" borderId="10" xfId="65" applyNumberFormat="1" applyFont="1" applyBorder="1" applyAlignment="1">
      <alignment horizontal="right" wrapText="1"/>
    </xf>
    <xf numFmtId="0" fontId="8" fillId="0" borderId="10" xfId="65" applyFont="1" applyBorder="1"/>
    <xf numFmtId="166" fontId="8" fillId="0" borderId="10" xfId="65" applyNumberFormat="1" applyFont="1" applyBorder="1"/>
    <xf numFmtId="0" fontId="24" fillId="0" borderId="10" xfId="65" applyFont="1" applyBorder="1" applyAlignment="1">
      <alignment wrapText="1"/>
    </xf>
    <xf numFmtId="166" fontId="24" fillId="0" borderId="10" xfId="65" applyNumberFormat="1" applyFont="1" applyBorder="1" applyAlignment="1">
      <alignment horizontal="center" wrapText="1"/>
    </xf>
    <xf numFmtId="0" fontId="29" fillId="0" borderId="10" xfId="65" applyFont="1" applyBorder="1" applyAlignment="1">
      <alignment horizontal="center" wrapText="1"/>
    </xf>
    <xf numFmtId="166" fontId="30" fillId="0" borderId="10" xfId="65" applyNumberFormat="1" applyFont="1" applyBorder="1"/>
    <xf numFmtId="166" fontId="1" fillId="0" borderId="0" xfId="65" applyNumberFormat="1"/>
    <xf numFmtId="0" fontId="30" fillId="0" borderId="0" xfId="65" applyFont="1"/>
    <xf numFmtId="1" fontId="1" fillId="0" borderId="0" xfId="65" applyNumberFormat="1"/>
    <xf numFmtId="0" fontId="18" fillId="0" borderId="0" xfId="94" applyFont="1" applyAlignment="1"/>
    <xf numFmtId="0" fontId="30" fillId="0" borderId="10" xfId="65" applyFont="1" applyBorder="1"/>
    <xf numFmtId="0" fontId="18" fillId="0" borderId="10" xfId="93" applyFont="1" applyBorder="1" applyAlignment="1">
      <alignment horizontal="center"/>
    </xf>
    <xf numFmtId="0" fontId="19" fillId="0" borderId="0" xfId="65" applyFont="1"/>
    <xf numFmtId="1" fontId="22" fillId="0" borderId="10" xfId="96" applyNumberFormat="1" applyFont="1" applyBorder="1" applyAlignment="1">
      <alignment horizontal="center"/>
    </xf>
    <xf numFmtId="0" fontId="22" fillId="0" borderId="10" xfId="96" applyFont="1" applyBorder="1" applyAlignment="1">
      <alignment horizontal="center"/>
    </xf>
    <xf numFmtId="0" fontId="34" fillId="0" borderId="12" xfId="65" applyFont="1" applyFill="1" applyBorder="1" applyAlignment="1">
      <alignment horizontal="centerContinuous" wrapText="1"/>
    </xf>
    <xf numFmtId="0" fontId="16" fillId="24" borderId="0" xfId="65" applyFont="1" applyFill="1" applyAlignment="1">
      <alignment horizontal="center"/>
    </xf>
    <xf numFmtId="0" fontId="16" fillId="24" borderId="0" xfId="65" applyFont="1" applyFill="1" applyAlignment="1">
      <alignment wrapText="1"/>
    </xf>
    <xf numFmtId="0" fontId="17" fillId="24" borderId="0" xfId="65" applyFont="1" applyFill="1" applyBorder="1" applyAlignment="1">
      <alignment horizontal="centerContinuous" wrapText="1"/>
    </xf>
    <xf numFmtId="0" fontId="16" fillId="24" borderId="0" xfId="65" applyFont="1" applyFill="1" applyAlignment="1">
      <alignment horizontal="centerContinuous" wrapText="1"/>
    </xf>
    <xf numFmtId="0" fontId="17" fillId="24" borderId="0" xfId="65" applyFont="1" applyFill="1" applyAlignment="1">
      <alignment horizontal="center"/>
    </xf>
    <xf numFmtId="0" fontId="16" fillId="24" borderId="0" xfId="65" applyFont="1" applyFill="1" applyAlignment="1">
      <alignment horizontal="center" wrapText="1"/>
    </xf>
    <xf numFmtId="0" fontId="16" fillId="0" borderId="0" xfId="65" applyFont="1" applyAlignment="1">
      <alignment wrapText="1"/>
    </xf>
    <xf numFmtId="0" fontId="32" fillId="24" borderId="10" xfId="65" applyFont="1" applyFill="1" applyBorder="1" applyAlignment="1">
      <alignment horizontal="center"/>
    </xf>
    <xf numFmtId="0" fontId="35" fillId="24" borderId="10" xfId="65" applyFont="1" applyFill="1" applyBorder="1" applyAlignment="1">
      <alignment horizontal="center" vertical="center" wrapText="1"/>
    </xf>
    <xf numFmtId="166" fontId="35" fillId="0" borderId="10" xfId="65" applyNumberFormat="1" applyFont="1" applyBorder="1" applyAlignment="1">
      <alignment horizontal="center" vertical="center" wrapText="1"/>
    </xf>
    <xf numFmtId="0" fontId="32" fillId="0" borderId="0" xfId="65" applyFont="1"/>
    <xf numFmtId="0" fontId="35" fillId="0" borderId="10" xfId="65" applyFont="1" applyBorder="1" applyAlignment="1">
      <alignment horizontal="center"/>
    </xf>
    <xf numFmtId="0" fontId="35" fillId="0" borderId="10" xfId="65" applyFont="1" applyBorder="1" applyAlignment="1">
      <alignment horizontal="center" wrapText="1"/>
    </xf>
    <xf numFmtId="166" fontId="32" fillId="0" borderId="10" xfId="65" applyNumberFormat="1" applyFont="1" applyBorder="1" applyAlignment="1">
      <alignment horizontal="center"/>
    </xf>
    <xf numFmtId="0" fontId="32" fillId="0" borderId="10" xfId="65" applyFont="1" applyBorder="1" applyAlignment="1">
      <alignment horizontal="center"/>
    </xf>
    <xf numFmtId="0" fontId="32" fillId="0" borderId="10" xfId="65" applyFont="1" applyBorder="1" applyAlignment="1">
      <alignment horizontal="left" wrapText="1"/>
    </xf>
    <xf numFmtId="0" fontId="32" fillId="0" borderId="10" xfId="65" applyFont="1" applyBorder="1" applyAlignment="1">
      <alignment horizontal="center" wrapText="1"/>
    </xf>
    <xf numFmtId="0" fontId="32" fillId="24" borderId="10" xfId="65" applyFont="1" applyFill="1" applyBorder="1" applyAlignment="1">
      <alignment horizontal="center" wrapText="1"/>
    </xf>
    <xf numFmtId="1" fontId="32" fillId="0" borderId="10" xfId="65" applyNumberFormat="1" applyFont="1" applyBorder="1" applyAlignment="1">
      <alignment horizontal="right" wrapText="1"/>
    </xf>
    <xf numFmtId="0" fontId="32" fillId="0" borderId="10" xfId="65" applyFont="1" applyBorder="1"/>
    <xf numFmtId="166" fontId="32" fillId="0" borderId="10" xfId="65" applyNumberFormat="1" applyFont="1" applyBorder="1"/>
    <xf numFmtId="0" fontId="28" fillId="0" borderId="0" xfId="65" applyFont="1"/>
    <xf numFmtId="0" fontId="37" fillId="0" borderId="10" xfId="38" applyFont="1" applyBorder="1" applyAlignment="1">
      <alignment vertical="center"/>
    </xf>
    <xf numFmtId="0" fontId="37" fillId="0" borderId="10" xfId="38" applyFont="1" applyBorder="1" applyAlignment="1">
      <alignment horizontal="center" vertical="center" wrapText="1"/>
    </xf>
    <xf numFmtId="0" fontId="37" fillId="0" borderId="0" xfId="38" applyFont="1"/>
    <xf numFmtId="0" fontId="37" fillId="0" borderId="10" xfId="38" applyFont="1" applyBorder="1"/>
    <xf numFmtId="0" fontId="37" fillId="0" borderId="10" xfId="38" applyFont="1" applyBorder="1" applyAlignment="1">
      <alignment horizontal="center"/>
    </xf>
    <xf numFmtId="0" fontId="23" fillId="0" borderId="10" xfId="96" applyFont="1" applyBorder="1" applyAlignment="1">
      <alignment horizontal="center"/>
    </xf>
    <xf numFmtId="166" fontId="37" fillId="0" borderId="10" xfId="38" applyNumberFormat="1" applyFont="1" applyBorder="1" applyAlignment="1">
      <alignment horizontal="right"/>
    </xf>
    <xf numFmtId="0" fontId="16" fillId="0" borderId="0" xfId="38" applyFont="1"/>
    <xf numFmtId="0" fontId="28" fillId="0" borderId="0" xfId="38" applyFont="1"/>
    <xf numFmtId="0" fontId="31" fillId="24" borderId="0" xfId="38" applyFont="1" applyFill="1" applyBorder="1" applyAlignment="1">
      <alignment horizontal="centerContinuous" wrapText="1"/>
    </xf>
    <xf numFmtId="0" fontId="34" fillId="0" borderId="12" xfId="38" applyFont="1" applyFill="1" applyBorder="1" applyAlignment="1">
      <alignment horizontal="centerContinuous" wrapText="1"/>
    </xf>
    <xf numFmtId="0" fontId="17" fillId="24" borderId="12" xfId="38" applyFont="1" applyFill="1" applyBorder="1" applyAlignment="1">
      <alignment horizontal="centerContinuous" wrapText="1"/>
    </xf>
    <xf numFmtId="0" fontId="31" fillId="24" borderId="12" xfId="38" applyFont="1" applyFill="1" applyBorder="1" applyAlignment="1">
      <alignment horizontal="centerContinuous" wrapText="1"/>
    </xf>
    <xf numFmtId="0" fontId="16" fillId="24" borderId="0" xfId="38" applyFont="1" applyFill="1" applyAlignment="1">
      <alignment horizontal="center"/>
    </xf>
    <xf numFmtId="0" fontId="16" fillId="24" borderId="0" xfId="38" applyFont="1" applyFill="1" applyAlignment="1">
      <alignment wrapText="1"/>
    </xf>
    <xf numFmtId="0" fontId="17" fillId="24" borderId="0" xfId="38" applyFont="1" applyFill="1" applyBorder="1" applyAlignment="1">
      <alignment horizontal="centerContinuous" wrapText="1"/>
    </xf>
    <xf numFmtId="0" fontId="16" fillId="24" borderId="0" xfId="38" applyFont="1" applyFill="1" applyAlignment="1">
      <alignment horizontal="centerContinuous" wrapText="1"/>
    </xf>
    <xf numFmtId="0" fontId="16" fillId="24" borderId="0" xfId="38" applyFont="1" applyFill="1" applyAlignment="1">
      <alignment horizontal="center" wrapText="1"/>
    </xf>
    <xf numFmtId="0" fontId="16" fillId="0" borderId="0" xfId="38" applyFont="1" applyAlignment="1">
      <alignment wrapText="1"/>
    </xf>
    <xf numFmtId="0" fontId="32" fillId="24" borderId="10" xfId="38" applyFont="1" applyFill="1" applyBorder="1" applyAlignment="1">
      <alignment horizontal="center"/>
    </xf>
    <xf numFmtId="0" fontId="35" fillId="24" borderId="10" xfId="38" applyFont="1" applyFill="1" applyBorder="1" applyAlignment="1">
      <alignment horizontal="center" vertical="center" wrapText="1"/>
    </xf>
    <xf numFmtId="166" fontId="35" fillId="0" borderId="10" xfId="38" applyNumberFormat="1" applyFont="1" applyBorder="1" applyAlignment="1">
      <alignment horizontal="center" vertical="center" wrapText="1"/>
    </xf>
    <xf numFmtId="0" fontId="32" fillId="0" borderId="0" xfId="38" applyFont="1"/>
    <xf numFmtId="0" fontId="35" fillId="0" borderId="10" xfId="38" applyFont="1" applyBorder="1" applyAlignment="1">
      <alignment horizontal="center"/>
    </xf>
    <xf numFmtId="0" fontId="35" fillId="0" borderId="10" xfId="38" applyFont="1" applyBorder="1" applyAlignment="1">
      <alignment horizontal="center" wrapText="1"/>
    </xf>
    <xf numFmtId="166" fontId="32" fillId="0" borderId="10" xfId="38" applyNumberFormat="1" applyFont="1" applyBorder="1" applyAlignment="1">
      <alignment horizontal="center"/>
    </xf>
    <xf numFmtId="0" fontId="32" fillId="0" borderId="10" xfId="38" applyFont="1" applyBorder="1" applyAlignment="1">
      <alignment horizontal="center"/>
    </xf>
    <xf numFmtId="0" fontId="32" fillId="0" borderId="10" xfId="38" applyFont="1" applyBorder="1" applyAlignment="1">
      <alignment horizontal="left" wrapText="1"/>
    </xf>
    <xf numFmtId="0" fontId="32" fillId="0" borderId="10" xfId="38" applyFont="1" applyBorder="1" applyAlignment="1">
      <alignment horizontal="center" wrapText="1"/>
    </xf>
    <xf numFmtId="0" fontId="32" fillId="24" borderId="10" xfId="38" applyFont="1" applyFill="1" applyBorder="1" applyAlignment="1">
      <alignment horizontal="center" wrapText="1"/>
    </xf>
    <xf numFmtId="1" fontId="32" fillId="0" borderId="10" xfId="38" applyNumberFormat="1" applyFont="1" applyBorder="1" applyAlignment="1">
      <alignment horizontal="right" wrapText="1"/>
    </xf>
    <xf numFmtId="0" fontId="32" fillId="0" borderId="10" xfId="38" applyFont="1" applyBorder="1"/>
    <xf numFmtId="166" fontId="32" fillId="0" borderId="10" xfId="38" applyNumberFormat="1" applyFont="1" applyBorder="1"/>
    <xf numFmtId="0" fontId="35" fillId="0" borderId="10" xfId="38" applyFont="1" applyBorder="1" applyAlignment="1">
      <alignment wrapText="1"/>
    </xf>
    <xf numFmtId="166" fontId="35" fillId="0" borderId="10" xfId="38" applyNumberFormat="1" applyFont="1" applyBorder="1" applyAlignment="1">
      <alignment horizontal="center" wrapText="1"/>
    </xf>
    <xf numFmtId="166" fontId="35" fillId="0" borderId="10" xfId="38" applyNumberFormat="1" applyFont="1" applyBorder="1" applyAlignment="1">
      <alignment horizontal="center"/>
    </xf>
    <xf numFmtId="0" fontId="35" fillId="0" borderId="0" xfId="38" applyFont="1"/>
    <xf numFmtId="0" fontId="32" fillId="0" borderId="10" xfId="38" applyFont="1" applyBorder="1" applyAlignment="1">
      <alignment vertical="center"/>
    </xf>
    <xf numFmtId="0" fontId="32" fillId="0" borderId="10" xfId="38" applyFont="1" applyBorder="1" applyAlignment="1">
      <alignment horizontal="center" vertical="center" wrapText="1"/>
    </xf>
    <xf numFmtId="0" fontId="32" fillId="0" borderId="11" xfId="65" applyFont="1" applyBorder="1" applyAlignment="1">
      <alignment vertical="center" wrapText="1"/>
    </xf>
    <xf numFmtId="0" fontId="32" fillId="0" borderId="10" xfId="38" applyFont="1" applyBorder="1" applyAlignment="1">
      <alignment horizontal="center" vertical="center"/>
    </xf>
    <xf numFmtId="166" fontId="32" fillId="0" borderId="10" xfId="38" applyNumberFormat="1" applyFont="1" applyBorder="1" applyAlignment="1">
      <alignment horizontal="right" vertical="center"/>
    </xf>
    <xf numFmtId="166" fontId="32" fillId="0" borderId="10" xfId="38" applyNumberFormat="1" applyFont="1" applyBorder="1" applyAlignment="1">
      <alignment horizontal="right"/>
    </xf>
    <xf numFmtId="0" fontId="35" fillId="0" borderId="10" xfId="38" applyFont="1" applyBorder="1"/>
    <xf numFmtId="166" fontId="25" fillId="0" borderId="10" xfId="38" applyNumberFormat="1" applyFont="1" applyBorder="1" applyAlignment="1">
      <alignment horizontal="center" vertical="center" wrapText="1"/>
    </xf>
    <xf numFmtId="0" fontId="25" fillId="0" borderId="10" xfId="38" applyFont="1" applyBorder="1" applyAlignment="1">
      <alignment horizontal="center" wrapText="1"/>
    </xf>
    <xf numFmtId="166" fontId="39" fillId="0" borderId="10" xfId="38" applyNumberFormat="1" applyFont="1" applyBorder="1" applyAlignment="1">
      <alignment horizontal="center"/>
    </xf>
    <xf numFmtId="166" fontId="23" fillId="0" borderId="10" xfId="38" applyNumberFormat="1" applyFont="1" applyBorder="1"/>
    <xf numFmtId="166" fontId="25" fillId="0" borderId="10" xfId="38" applyNumberFormat="1" applyFont="1" applyBorder="1" applyAlignment="1">
      <alignment horizontal="center"/>
    </xf>
    <xf numFmtId="0" fontId="37" fillId="0" borderId="0" xfId="38" applyFont="1" applyBorder="1"/>
    <xf numFmtId="166" fontId="6" fillId="0" borderId="0" xfId="65" applyNumberFormat="1" applyFont="1" applyFill="1" applyBorder="1" applyAlignment="1">
      <alignment horizontal="center"/>
    </xf>
    <xf numFmtId="0" fontId="74" fillId="0" borderId="0" xfId="38" applyFont="1"/>
    <xf numFmtId="0" fontId="32" fillId="0" borderId="10" xfId="78" applyFont="1" applyBorder="1" applyAlignment="1">
      <alignment horizontal="center" wrapText="1"/>
    </xf>
    <xf numFmtId="0" fontId="75" fillId="0" borderId="0" xfId="38" applyFont="1"/>
    <xf numFmtId="166" fontId="25" fillId="0" borderId="0" xfId="38" applyNumberFormat="1" applyFont="1" applyBorder="1" applyAlignment="1">
      <alignment horizontal="center"/>
    </xf>
    <xf numFmtId="166" fontId="36" fillId="0" borderId="0" xfId="38" applyNumberFormat="1" applyFont="1" applyBorder="1"/>
    <xf numFmtId="0" fontId="4" fillId="0" borderId="10" xfId="38" applyFont="1" applyBorder="1" applyAlignment="1">
      <alignment vertical="center"/>
    </xf>
    <xf numFmtId="0" fontId="4" fillId="0" borderId="10" xfId="38" applyFont="1" applyBorder="1" applyAlignment="1">
      <alignment horizontal="center" vertical="center" wrapText="1"/>
    </xf>
    <xf numFmtId="0" fontId="4" fillId="0" borderId="0" xfId="38" applyFont="1"/>
    <xf numFmtId="0" fontId="4" fillId="0" borderId="10" xfId="38" applyFont="1" applyBorder="1" applyAlignment="1">
      <alignment horizontal="center"/>
    </xf>
    <xf numFmtId="166" fontId="4" fillId="0" borderId="10" xfId="38" applyNumberFormat="1" applyFont="1" applyBorder="1" applyAlignment="1">
      <alignment horizontal="right"/>
    </xf>
    <xf numFmtId="0" fontId="16" fillId="0" borderId="0" xfId="78" applyFont="1" applyFill="1" applyBorder="1" applyAlignment="1">
      <alignment vertical="center" wrapText="1"/>
    </xf>
    <xf numFmtId="2" fontId="76" fillId="25" borderId="10" xfId="78" applyNumberFormat="1" applyFont="1" applyFill="1" applyBorder="1" applyAlignment="1">
      <alignment horizontal="center"/>
    </xf>
    <xf numFmtId="0" fontId="32" fillId="0" borderId="10" xfId="0" applyFont="1" applyBorder="1" applyAlignment="1">
      <alignment horizontal="center" wrapText="1"/>
    </xf>
    <xf numFmtId="0" fontId="18" fillId="0" borderId="0" xfId="0" applyFont="1"/>
    <xf numFmtId="0" fontId="32" fillId="0" borderId="10" xfId="96" applyFont="1" applyBorder="1" applyAlignment="1">
      <alignment horizontal="justify"/>
    </xf>
    <xf numFmtId="0" fontId="32" fillId="0" borderId="10" xfId="40" applyFont="1" applyBorder="1" applyAlignment="1">
      <alignment horizontal="center" wrapText="1"/>
    </xf>
    <xf numFmtId="167" fontId="24" fillId="0" borderId="10" xfId="65" applyNumberFormat="1" applyFont="1" applyBorder="1" applyAlignment="1">
      <alignment horizontal="right" vertical="center"/>
    </xf>
    <xf numFmtId="167" fontId="18" fillId="0" borderId="10" xfId="96" applyNumberFormat="1" applyFont="1" applyBorder="1" applyAlignment="1">
      <alignment horizontal="right" vertical="center"/>
    </xf>
    <xf numFmtId="166" fontId="27" fillId="0" borderId="10" xfId="65" applyNumberFormat="1" applyFont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18" fillId="0" borderId="10" xfId="0" applyFont="1" applyBorder="1"/>
    <xf numFmtId="0" fontId="18" fillId="0" borderId="10" xfId="0" applyFont="1" applyBorder="1" applyAlignment="1">
      <alignment horizontal="left" vertical="center"/>
    </xf>
    <xf numFmtId="0" fontId="18" fillId="0" borderId="18" xfId="0" applyFont="1" applyBorder="1"/>
    <xf numFmtId="0" fontId="18" fillId="0" borderId="0" xfId="0" applyFont="1" applyBorder="1"/>
    <xf numFmtId="0" fontId="24" fillId="0" borderId="10" xfId="0" applyFont="1" applyBorder="1"/>
    <xf numFmtId="0" fontId="32" fillId="0" borderId="0" xfId="65" applyFont="1" applyBorder="1" applyAlignment="1">
      <alignment horizontal="center"/>
    </xf>
    <xf numFmtId="166" fontId="32" fillId="0" borderId="0" xfId="65" applyNumberFormat="1" applyFont="1" applyBorder="1"/>
    <xf numFmtId="0" fontId="34" fillId="0" borderId="12" xfId="38" applyFont="1" applyFill="1" applyBorder="1" applyAlignment="1">
      <alignment horizontal="left"/>
    </xf>
    <xf numFmtId="166" fontId="38" fillId="0" borderId="10" xfId="38" applyNumberFormat="1" applyFont="1" applyBorder="1" applyAlignment="1">
      <alignment horizontal="right"/>
    </xf>
    <xf numFmtId="0" fontId="24" fillId="0" borderId="18" xfId="0" applyFont="1" applyBorder="1"/>
    <xf numFmtId="0" fontId="24" fillId="0" borderId="1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24" fillId="0" borderId="0" xfId="0" applyFont="1" applyBorder="1"/>
    <xf numFmtId="2" fontId="16" fillId="0" borderId="0" xfId="38" applyNumberFormat="1" applyFont="1"/>
    <xf numFmtId="0" fontId="16" fillId="0" borderId="10" xfId="0" applyFont="1" applyBorder="1" applyAlignment="1">
      <alignment horizontal="left" vertical="center"/>
    </xf>
    <xf numFmtId="0" fontId="32" fillId="0" borderId="11" xfId="38" applyFont="1" applyBorder="1" applyAlignment="1">
      <alignment vertical="center" wrapText="1"/>
    </xf>
    <xf numFmtId="0" fontId="16" fillId="0" borderId="11" xfId="38" applyFont="1" applyBorder="1" applyAlignment="1">
      <alignment vertical="center" wrapText="1"/>
    </xf>
    <xf numFmtId="166" fontId="35" fillId="0" borderId="10" xfId="38" applyNumberFormat="1" applyFont="1" applyBorder="1" applyAlignment="1">
      <alignment horizontal="right"/>
    </xf>
    <xf numFmtId="0" fontId="18" fillId="0" borderId="0" xfId="94" applyFont="1" applyAlignment="1">
      <alignment wrapText="1"/>
    </xf>
    <xf numFmtId="0" fontId="58" fillId="24" borderId="0" xfId="0" applyFont="1" applyFill="1" applyAlignment="1">
      <alignment horizontal="centerContinuous" wrapText="1"/>
    </xf>
    <xf numFmtId="0" fontId="60" fillId="0" borderId="10" xfId="0" applyFont="1" applyBorder="1" applyAlignment="1">
      <alignment horizontal="center"/>
    </xf>
    <xf numFmtId="0" fontId="60" fillId="0" borderId="10" xfId="0" applyFont="1" applyBorder="1" applyAlignment="1">
      <alignment horizontal="center" wrapText="1"/>
    </xf>
    <xf numFmtId="0" fontId="69" fillId="0" borderId="10" xfId="0" applyFont="1" applyBorder="1" applyAlignment="1">
      <alignment wrapText="1"/>
    </xf>
    <xf numFmtId="0" fontId="69" fillId="0" borderId="10" xfId="0" applyFont="1" applyBorder="1" applyAlignment="1">
      <alignment horizontal="center" wrapText="1"/>
    </xf>
    <xf numFmtId="0" fontId="59" fillId="0" borderId="10" xfId="0" applyFont="1" applyBorder="1" applyAlignment="1">
      <alignment wrapText="1"/>
    </xf>
    <xf numFmtId="0" fontId="1" fillId="0" borderId="10" xfId="65" applyBorder="1"/>
    <xf numFmtId="0" fontId="18" fillId="0" borderId="0" xfId="65" applyFont="1" applyBorder="1" applyAlignment="1">
      <alignment horizontal="center" vertical="center" wrapText="1"/>
    </xf>
    <xf numFmtId="0" fontId="18" fillId="0" borderId="0" xfId="65" applyFont="1" applyBorder="1" applyAlignment="1">
      <alignment horizontal="centerContinuous" vertical="center" wrapText="1"/>
    </xf>
    <xf numFmtId="0" fontId="24" fillId="0" borderId="0" xfId="65" applyFont="1" applyBorder="1" applyAlignment="1">
      <alignment horizontal="centerContinuous" vertical="center" wrapText="1"/>
    </xf>
    <xf numFmtId="0" fontId="33" fillId="24" borderId="12" xfId="38" applyFont="1" applyFill="1" applyBorder="1" applyAlignment="1">
      <alignment horizontal="left" wrapText="1"/>
    </xf>
    <xf numFmtId="0" fontId="24" fillId="0" borderId="0" xfId="94" applyFont="1" applyAlignment="1">
      <alignment horizontal="left" vertical="center"/>
    </xf>
    <xf numFmtId="0" fontId="16" fillId="0" borderId="12" xfId="38" applyFont="1" applyBorder="1"/>
    <xf numFmtId="0" fontId="16" fillId="0" borderId="12" xfId="38" applyFont="1" applyBorder="1" applyAlignment="1">
      <alignment horizontal="centerContinuous"/>
    </xf>
    <xf numFmtId="166" fontId="32" fillId="27" borderId="10" xfId="65" applyNumberFormat="1" applyFont="1" applyFill="1" applyBorder="1" applyAlignment="1">
      <alignment horizontal="center"/>
    </xf>
    <xf numFmtId="166" fontId="25" fillId="27" borderId="10" xfId="38" applyNumberFormat="1" applyFont="1" applyFill="1" applyBorder="1" applyAlignment="1">
      <alignment horizontal="center"/>
    </xf>
    <xf numFmtId="0" fontId="35" fillId="0" borderId="0" xfId="38" applyFont="1" applyBorder="1" applyAlignment="1">
      <alignment horizontal="center"/>
    </xf>
    <xf numFmtId="0" fontId="35" fillId="0" borderId="17" xfId="38" applyFont="1" applyBorder="1" applyAlignment="1">
      <alignment wrapText="1"/>
    </xf>
    <xf numFmtId="0" fontId="35" fillId="0" borderId="17" xfId="38" applyFont="1" applyBorder="1" applyAlignment="1">
      <alignment horizontal="center"/>
    </xf>
    <xf numFmtId="166" fontId="35" fillId="0" borderId="17" xfId="38" applyNumberFormat="1" applyFont="1" applyBorder="1" applyAlignment="1">
      <alignment horizontal="center" wrapText="1"/>
    </xf>
    <xf numFmtId="0" fontId="35" fillId="0" borderId="17" xfId="38" applyFont="1" applyBorder="1" applyAlignment="1">
      <alignment horizontal="center" wrapText="1"/>
    </xf>
    <xf numFmtId="166" fontId="25" fillId="25" borderId="17" xfId="38" applyNumberFormat="1" applyFont="1" applyFill="1" applyBorder="1" applyAlignment="1">
      <alignment horizontal="center"/>
    </xf>
    <xf numFmtId="167" fontId="70" fillId="0" borderId="10" xfId="65" applyNumberFormat="1" applyFont="1" applyBorder="1"/>
    <xf numFmtId="0" fontId="16" fillId="0" borderId="10" xfId="38" applyFont="1" applyBorder="1"/>
    <xf numFmtId="166" fontId="19" fillId="0" borderId="10" xfId="38" applyNumberFormat="1" applyFont="1" applyBorder="1"/>
    <xf numFmtId="0" fontId="16" fillId="26" borderId="0" xfId="38" applyFont="1" applyFill="1"/>
    <xf numFmtId="0" fontId="33" fillId="26" borderId="12" xfId="38" applyFont="1" applyFill="1" applyBorder="1" applyAlignment="1">
      <alignment horizontal="left" wrapText="1"/>
    </xf>
    <xf numFmtId="0" fontId="34" fillId="26" borderId="12" xfId="38" applyFont="1" applyFill="1" applyBorder="1" applyAlignment="1">
      <alignment horizontal="centerContinuous" wrapText="1"/>
    </xf>
    <xf numFmtId="0" fontId="17" fillId="26" borderId="12" xfId="38" applyFont="1" applyFill="1" applyBorder="1" applyAlignment="1">
      <alignment horizontal="centerContinuous" wrapText="1"/>
    </xf>
    <xf numFmtId="0" fontId="31" fillId="26" borderId="12" xfId="38" applyFont="1" applyFill="1" applyBorder="1" applyAlignment="1">
      <alignment horizontal="centerContinuous" wrapText="1"/>
    </xf>
    <xf numFmtId="0" fontId="16" fillId="26" borderId="12" xfId="38" applyFont="1" applyFill="1" applyBorder="1" applyAlignment="1">
      <alignment horizontal="centerContinuous"/>
    </xf>
    <xf numFmtId="0" fontId="20" fillId="28" borderId="10" xfId="65" applyFont="1" applyFill="1" applyBorder="1" applyAlignment="1">
      <alignment horizontal="center" wrapText="1"/>
    </xf>
    <xf numFmtId="0" fontId="18" fillId="28" borderId="10" xfId="65" applyFont="1" applyFill="1" applyBorder="1" applyAlignment="1">
      <alignment horizontal="center" wrapText="1"/>
    </xf>
    <xf numFmtId="0" fontId="32" fillId="28" borderId="10" xfId="65" applyFont="1" applyFill="1" applyBorder="1" applyAlignment="1">
      <alignment horizontal="center" wrapText="1"/>
    </xf>
    <xf numFmtId="0" fontId="32" fillId="28" borderId="10" xfId="38" applyFont="1" applyFill="1" applyBorder="1" applyAlignment="1">
      <alignment horizontal="center" wrapText="1"/>
    </xf>
    <xf numFmtId="0" fontId="71" fillId="0" borderId="10" xfId="0" applyFont="1" applyBorder="1" applyAlignment="1">
      <alignment horizontal="center" wrapText="1"/>
    </xf>
    <xf numFmtId="0" fontId="58" fillId="0" borderId="0" xfId="38" applyFont="1"/>
    <xf numFmtId="0" fontId="77" fillId="24" borderId="12" xfId="38" applyFont="1" applyFill="1" applyBorder="1" applyAlignment="1">
      <alignment horizontal="left" wrapText="1"/>
    </xf>
    <xf numFmtId="0" fontId="66" fillId="0" borderId="12" xfId="38" applyFont="1" applyFill="1" applyBorder="1" applyAlignment="1">
      <alignment horizontal="left"/>
    </xf>
    <xf numFmtId="0" fontId="67" fillId="24" borderId="12" xfId="38" applyFont="1" applyFill="1" applyBorder="1" applyAlignment="1">
      <alignment horizontal="centerContinuous" wrapText="1"/>
    </xf>
    <xf numFmtId="0" fontId="67" fillId="24" borderId="0" xfId="38" applyFont="1" applyFill="1" applyBorder="1" applyAlignment="1">
      <alignment horizontal="centerContinuous" wrapText="1"/>
    </xf>
    <xf numFmtId="0" fontId="64" fillId="24" borderId="0" xfId="38" applyFont="1" applyFill="1" applyBorder="1" applyAlignment="1">
      <alignment horizontal="centerContinuous" wrapText="1"/>
    </xf>
    <xf numFmtId="0" fontId="61" fillId="0" borderId="0" xfId="65" applyFont="1"/>
    <xf numFmtId="0" fontId="58" fillId="0" borderId="0" xfId="65" applyFont="1" applyBorder="1" applyAlignment="1">
      <alignment horizontal="centerContinuous" vertical="center" wrapText="1"/>
    </xf>
    <xf numFmtId="0" fontId="58" fillId="0" borderId="0" xfId="65" applyFont="1" applyBorder="1" applyAlignment="1">
      <alignment horizontal="center" vertical="center" wrapText="1"/>
    </xf>
    <xf numFmtId="0" fontId="66" fillId="0" borderId="0" xfId="65" applyFont="1" applyBorder="1"/>
    <xf numFmtId="0" fontId="66" fillId="0" borderId="0" xfId="65" applyFont="1"/>
    <xf numFmtId="0" fontId="69" fillId="0" borderId="10" xfId="65" applyFont="1" applyBorder="1" applyAlignment="1">
      <alignment horizontal="center"/>
    </xf>
    <xf numFmtId="0" fontId="69" fillId="0" borderId="10" xfId="65" applyFont="1" applyBorder="1" applyAlignment="1">
      <alignment horizontal="center" wrapText="1"/>
    </xf>
    <xf numFmtId="0" fontId="58" fillId="24" borderId="10" xfId="65" applyFont="1" applyFill="1" applyBorder="1" applyAlignment="1">
      <alignment horizontal="center" vertical="center"/>
    </xf>
    <xf numFmtId="0" fontId="58" fillId="24" borderId="10" xfId="65" applyFont="1" applyFill="1" applyBorder="1" applyAlignment="1">
      <alignment horizontal="center" vertical="center" wrapText="1"/>
    </xf>
    <xf numFmtId="166" fontId="58" fillId="0" borderId="10" xfId="65" applyNumberFormat="1" applyFont="1" applyBorder="1" applyAlignment="1">
      <alignment horizontal="center" vertical="center" wrapText="1"/>
    </xf>
    <xf numFmtId="0" fontId="58" fillId="0" borderId="10" xfId="65" applyFont="1" applyBorder="1" applyAlignment="1">
      <alignment horizontal="center"/>
    </xf>
    <xf numFmtId="0" fontId="58" fillId="0" borderId="10" xfId="65" applyFont="1" applyBorder="1" applyAlignment="1">
      <alignment horizontal="center" wrapText="1"/>
    </xf>
    <xf numFmtId="0" fontId="58" fillId="0" borderId="10" xfId="65" applyFont="1" applyBorder="1" applyAlignment="1">
      <alignment horizontal="center" vertical="center"/>
    </xf>
    <xf numFmtId="0" fontId="58" fillId="0" borderId="10" xfId="65" applyFont="1" applyBorder="1" applyAlignment="1">
      <alignment horizontal="left" wrapText="1"/>
    </xf>
    <xf numFmtId="1" fontId="58" fillId="0" borderId="10" xfId="65" applyNumberFormat="1" applyFont="1" applyBorder="1" applyAlignment="1">
      <alignment horizontal="center" wrapText="1"/>
    </xf>
    <xf numFmtId="0" fontId="58" fillId="0" borderId="10" xfId="65" applyFont="1" applyBorder="1" applyAlignment="1">
      <alignment wrapText="1"/>
    </xf>
    <xf numFmtId="1" fontId="58" fillId="25" borderId="10" xfId="65" applyNumberFormat="1" applyFont="1" applyFill="1" applyBorder="1" applyAlignment="1">
      <alignment horizontal="center" wrapText="1"/>
    </xf>
    <xf numFmtId="0" fontId="58" fillId="0" borderId="0" xfId="65" applyFont="1"/>
    <xf numFmtId="0" fontId="58" fillId="0" borderId="13" xfId="0" applyFont="1" applyBorder="1"/>
    <xf numFmtId="0" fontId="58" fillId="0" borderId="10" xfId="0" applyFont="1" applyBorder="1"/>
    <xf numFmtId="0" fontId="58" fillId="0" borderId="19" xfId="0" applyFont="1" applyBorder="1" applyAlignment="1">
      <alignment horizontal="left" vertical="center"/>
    </xf>
    <xf numFmtId="0" fontId="58" fillId="0" borderId="20" xfId="0" applyFont="1" applyBorder="1"/>
    <xf numFmtId="0" fontId="67" fillId="0" borderId="10" xfId="0" applyFont="1" applyBorder="1"/>
    <xf numFmtId="0" fontId="67" fillId="0" borderId="11" xfId="0" applyFont="1" applyBorder="1"/>
    <xf numFmtId="1" fontId="67" fillId="0" borderId="13" xfId="0" applyNumberFormat="1" applyFont="1" applyBorder="1"/>
    <xf numFmtId="0" fontId="58" fillId="0" borderId="10" xfId="40" applyFont="1" applyBorder="1" applyAlignment="1">
      <alignment horizontal="center" wrapText="1"/>
    </xf>
    <xf numFmtId="169" fontId="58" fillId="0" borderId="10" xfId="65" applyNumberFormat="1" applyFont="1" applyBorder="1" applyAlignment="1">
      <alignment horizontal="center"/>
    </xf>
    <xf numFmtId="0" fontId="58" fillId="0" borderId="10" xfId="65" applyFont="1" applyFill="1" applyBorder="1" applyAlignment="1">
      <alignment horizontal="center" vertical="center" wrapText="1"/>
    </xf>
    <xf numFmtId="0" fontId="57" fillId="0" borderId="0" xfId="65" applyFont="1"/>
    <xf numFmtId="0" fontId="58" fillId="0" borderId="10" xfId="65" applyFont="1" applyBorder="1"/>
    <xf numFmtId="0" fontId="58" fillId="0" borderId="10" xfId="65" applyFont="1" applyBorder="1" applyAlignment="1">
      <alignment horizontal="left" vertical="center" wrapText="1"/>
    </xf>
    <xf numFmtId="0" fontId="58" fillId="0" borderId="10" xfId="65" applyFont="1" applyBorder="1" applyAlignment="1">
      <alignment horizontal="center" vertical="center" wrapText="1"/>
    </xf>
    <xf numFmtId="0" fontId="81" fillId="0" borderId="0" xfId="0" applyFont="1"/>
    <xf numFmtId="0" fontId="58" fillId="0" borderId="10" xfId="65" applyFont="1" applyFill="1" applyBorder="1" applyAlignment="1">
      <alignment horizontal="left" vertical="center" wrapText="1"/>
    </xf>
    <xf numFmtId="3" fontId="58" fillId="0" borderId="10" xfId="65" applyNumberFormat="1" applyFont="1" applyBorder="1" applyAlignment="1">
      <alignment horizontal="center" vertical="center"/>
    </xf>
    <xf numFmtId="0" fontId="67" fillId="0" borderId="0" xfId="94" applyFont="1" applyAlignment="1">
      <alignment horizontal="left" vertical="center"/>
    </xf>
    <xf numFmtId="0" fontId="58" fillId="0" borderId="0" xfId="94" applyFont="1" applyAlignment="1"/>
    <xf numFmtId="0" fontId="58" fillId="0" borderId="0" xfId="96" applyFont="1"/>
    <xf numFmtId="0" fontId="69" fillId="0" borderId="10" xfId="38" applyFont="1" applyBorder="1" applyAlignment="1">
      <alignment vertical="center"/>
    </xf>
    <xf numFmtId="0" fontId="58" fillId="0" borderId="10" xfId="96" applyFont="1" applyBorder="1" applyAlignment="1">
      <alignment horizontal="center" vertical="center" wrapText="1"/>
    </xf>
    <xf numFmtId="0" fontId="69" fillId="0" borderId="10" xfId="38" applyFont="1" applyBorder="1"/>
    <xf numFmtId="0" fontId="58" fillId="0" borderId="10" xfId="96" applyFont="1" applyBorder="1" applyAlignment="1">
      <alignment horizontal="center"/>
    </xf>
    <xf numFmtId="0" fontId="58" fillId="0" borderId="10" xfId="96" applyFont="1" applyBorder="1" applyAlignment="1">
      <alignment horizontal="center" vertical="center"/>
    </xf>
    <xf numFmtId="0" fontId="58" fillId="0" borderId="10" xfId="65" applyFont="1" applyBorder="1" applyAlignment="1">
      <alignment vertical="center"/>
    </xf>
    <xf numFmtId="167" fontId="58" fillId="0" borderId="10" xfId="96" applyNumberFormat="1" applyFont="1" applyBorder="1" applyAlignment="1">
      <alignment horizontal="center" vertical="center"/>
    </xf>
    <xf numFmtId="0" fontId="67" fillId="0" borderId="10" xfId="65" applyFont="1" applyBorder="1" applyAlignment="1">
      <alignment horizontal="center" vertical="center" wrapText="1"/>
    </xf>
    <xf numFmtId="167" fontId="67" fillId="0" borderId="10" xfId="65" applyNumberFormat="1" applyFont="1" applyBorder="1" applyAlignment="1">
      <alignment horizontal="center" vertical="center"/>
    </xf>
    <xf numFmtId="0" fontId="64" fillId="24" borderId="12" xfId="38" applyFont="1" applyFill="1" applyBorder="1" applyAlignment="1">
      <alignment horizontal="centerContinuous" wrapText="1"/>
    </xf>
    <xf numFmtId="0" fontId="58" fillId="0" borderId="12" xfId="38" applyFont="1" applyBorder="1" applyAlignment="1">
      <alignment horizontal="centerContinuous"/>
    </xf>
    <xf numFmtId="0" fontId="83" fillId="0" borderId="0" xfId="65" applyFont="1"/>
    <xf numFmtId="0" fontId="58" fillId="24" borderId="0" xfId="65" applyFont="1" applyFill="1" applyAlignment="1">
      <alignment horizontal="center" wrapText="1"/>
    </xf>
    <xf numFmtId="0" fontId="58" fillId="24" borderId="0" xfId="65" applyFont="1" applyFill="1" applyAlignment="1">
      <alignment wrapText="1"/>
    </xf>
    <xf numFmtId="0" fontId="58" fillId="0" borderId="0" xfId="65" applyFont="1" applyAlignment="1">
      <alignment wrapText="1"/>
    </xf>
    <xf numFmtId="0" fontId="79" fillId="0" borderId="0" xfId="39" applyFont="1" applyAlignment="1">
      <alignment horizontal="center" vertical="center" wrapText="1"/>
    </xf>
    <xf numFmtId="0" fontId="69" fillId="0" borderId="10" xfId="96" applyFont="1" applyBorder="1" applyAlignment="1">
      <alignment horizontal="center" vertical="center" wrapText="1"/>
    </xf>
    <xf numFmtId="0" fontId="58" fillId="0" borderId="10" xfId="90" applyFont="1" applyBorder="1" applyAlignment="1">
      <alignment horizontal="center" vertical="center" wrapText="1"/>
    </xf>
    <xf numFmtId="0" fontId="58" fillId="0" borderId="10" xfId="90" applyFont="1" applyBorder="1" applyAlignment="1">
      <alignment horizontal="center" vertical="center"/>
    </xf>
    <xf numFmtId="0" fontId="71" fillId="24" borderId="10" xfId="39" applyFont="1" applyFill="1" applyBorder="1" applyAlignment="1">
      <alignment horizontal="center" vertical="center" wrapText="1"/>
    </xf>
    <xf numFmtId="166" fontId="71" fillId="0" borderId="10" xfId="39" applyNumberFormat="1" applyFont="1" applyBorder="1" applyAlignment="1">
      <alignment horizontal="center" vertical="center" wrapText="1"/>
    </xf>
    <xf numFmtId="0" fontId="79" fillId="0" borderId="0" xfId="39" applyFont="1"/>
    <xf numFmtId="0" fontId="69" fillId="0" borderId="0" xfId="39" applyFont="1"/>
    <xf numFmtId="0" fontId="71" fillId="0" borderId="10" xfId="39" applyFont="1" applyBorder="1" applyAlignment="1">
      <alignment horizontal="center"/>
    </xf>
    <xf numFmtId="0" fontId="71" fillId="0" borderId="10" xfId="39" applyFont="1" applyBorder="1" applyAlignment="1">
      <alignment horizontal="center" wrapText="1"/>
    </xf>
    <xf numFmtId="166" fontId="69" fillId="0" borderId="10" xfId="39" applyNumberFormat="1" applyFont="1" applyBorder="1" applyAlignment="1">
      <alignment horizontal="center"/>
    </xf>
    <xf numFmtId="166" fontId="79" fillId="0" borderId="0" xfId="39" applyNumberFormat="1" applyFont="1"/>
    <xf numFmtId="0" fontId="69" fillId="0" borderId="10" xfId="39" applyFont="1" applyBorder="1" applyAlignment="1">
      <alignment horizontal="center"/>
    </xf>
    <xf numFmtId="0" fontId="58" fillId="0" borderId="10" xfId="39" applyFont="1" applyBorder="1" applyAlignment="1">
      <alignment horizontal="center" vertical="center"/>
    </xf>
    <xf numFmtId="166" fontId="69" fillId="0" borderId="0" xfId="39" applyNumberFormat="1" applyFont="1"/>
    <xf numFmtId="0" fontId="69" fillId="0" borderId="10" xfId="39" applyFont="1" applyBorder="1" applyAlignment="1">
      <alignment horizontal="left" wrapText="1"/>
    </xf>
    <xf numFmtId="0" fontId="69" fillId="24" borderId="10" xfId="39" applyFont="1" applyFill="1" applyBorder="1" applyAlignment="1">
      <alignment horizontal="center" wrapText="1"/>
    </xf>
    <xf numFmtId="0" fontId="69" fillId="0" borderId="10" xfId="39" applyFont="1" applyBorder="1" applyAlignment="1">
      <alignment horizontal="center" wrapText="1"/>
    </xf>
    <xf numFmtId="0" fontId="71" fillId="0" borderId="0" xfId="39" applyFont="1"/>
    <xf numFmtId="0" fontId="71" fillId="0" borderId="10" xfId="39" applyFont="1" applyBorder="1" applyAlignment="1">
      <alignment wrapText="1"/>
    </xf>
    <xf numFmtId="169" fontId="71" fillId="0" borderId="10" xfId="39" applyNumberFormat="1" applyFont="1" applyBorder="1" applyAlignment="1">
      <alignment horizontal="center" wrapText="1"/>
    </xf>
    <xf numFmtId="0" fontId="86" fillId="0" borderId="0" xfId="39" applyFont="1" applyBorder="1" applyAlignment="1">
      <alignment horizontal="center"/>
    </xf>
    <xf numFmtId="0" fontId="86" fillId="0" borderId="0" xfId="39" applyFont="1" applyBorder="1" applyAlignment="1">
      <alignment wrapText="1"/>
    </xf>
    <xf numFmtId="0" fontId="86" fillId="0" borderId="0" xfId="39" applyFont="1" applyBorder="1" applyAlignment="1">
      <alignment horizontal="center" wrapText="1"/>
    </xf>
    <xf numFmtId="0" fontId="86" fillId="0" borderId="0" xfId="39" applyFont="1"/>
    <xf numFmtId="0" fontId="69" fillId="0" borderId="0" xfId="65" applyFont="1"/>
    <xf numFmtId="0" fontId="69" fillId="0" borderId="0" xfId="65" applyFont="1" applyFill="1" applyBorder="1" applyAlignment="1">
      <alignment horizontal="center"/>
    </xf>
    <xf numFmtId="0" fontId="57" fillId="0" borderId="10" xfId="65" applyFont="1" applyBorder="1"/>
    <xf numFmtId="166" fontId="84" fillId="0" borderId="10" xfId="65" applyNumberFormat="1" applyFont="1" applyBorder="1"/>
    <xf numFmtId="0" fontId="58" fillId="0" borderId="10" xfId="41" applyFont="1" applyBorder="1" applyAlignment="1">
      <alignment horizontal="left" vertical="center" wrapText="1"/>
    </xf>
    <xf numFmtId="0" fontId="58" fillId="0" borderId="10" xfId="65" applyFont="1" applyBorder="1" applyAlignment="1">
      <alignment vertical="center" wrapText="1"/>
    </xf>
    <xf numFmtId="1" fontId="58" fillId="0" borderId="10" xfId="41" applyNumberFormat="1" applyFont="1" applyBorder="1" applyAlignment="1">
      <alignment vertical="center" wrapText="1"/>
    </xf>
    <xf numFmtId="1" fontId="58" fillId="0" borderId="10" xfId="96" applyNumberFormat="1" applyFont="1" applyBorder="1" applyAlignment="1">
      <alignment vertical="center"/>
    </xf>
    <xf numFmtId="166" fontId="58" fillId="0" borderId="10" xfId="96" applyNumberFormat="1" applyFont="1" applyBorder="1" applyAlignment="1">
      <alignment vertical="center"/>
    </xf>
    <xf numFmtId="0" fontId="67" fillId="0" borderId="10" xfId="65" applyFont="1" applyBorder="1"/>
    <xf numFmtId="0" fontId="67" fillId="24" borderId="12" xfId="55" applyFont="1" applyFill="1" applyBorder="1" applyAlignment="1">
      <alignment horizontal="centerContinuous" vertical="center" wrapText="1"/>
    </xf>
    <xf numFmtId="0" fontId="69" fillId="24" borderId="10" xfId="39" applyFont="1" applyFill="1" applyBorder="1" applyAlignment="1">
      <alignment horizontal="center"/>
    </xf>
    <xf numFmtId="0" fontId="87" fillId="0" borderId="0" xfId="39" applyFont="1"/>
    <xf numFmtId="0" fontId="80" fillId="0" borderId="0" xfId="66" applyFont="1"/>
    <xf numFmtId="0" fontId="58" fillId="0" borderId="0" xfId="66" applyFont="1"/>
    <xf numFmtId="166" fontId="88" fillId="0" borderId="0" xfId="39" applyNumberFormat="1" applyFont="1" applyBorder="1" applyAlignment="1">
      <alignment horizontal="center"/>
    </xf>
    <xf numFmtId="0" fontId="88" fillId="0" borderId="0" xfId="39" applyFont="1"/>
    <xf numFmtId="166" fontId="71" fillId="0" borderId="0" xfId="39" applyNumberFormat="1" applyFont="1" applyBorder="1"/>
    <xf numFmtId="0" fontId="69" fillId="24" borderId="0" xfId="39" applyFont="1" applyFill="1" applyAlignment="1">
      <alignment horizontal="center" wrapText="1"/>
    </xf>
    <xf numFmtId="0" fontId="69" fillId="24" borderId="0" xfId="39" applyFont="1" applyFill="1" applyAlignment="1">
      <alignment wrapText="1"/>
    </xf>
    <xf numFmtId="0" fontId="69" fillId="0" borderId="0" xfId="39" applyFont="1" applyAlignment="1">
      <alignment wrapText="1"/>
    </xf>
    <xf numFmtId="0" fontId="69" fillId="0" borderId="0" xfId="92" applyFont="1"/>
    <xf numFmtId="0" fontId="67" fillId="24" borderId="10" xfId="39" applyFont="1" applyFill="1" applyBorder="1" applyAlignment="1">
      <alignment horizontal="center" vertical="center" wrapText="1"/>
    </xf>
    <xf numFmtId="166" fontId="67" fillId="0" borderId="10" xfId="39" applyNumberFormat="1" applyFont="1" applyBorder="1" applyAlignment="1">
      <alignment horizontal="center" vertical="center" wrapText="1"/>
    </xf>
    <xf numFmtId="0" fontId="58" fillId="24" borderId="10" xfId="39" applyFont="1" applyFill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10" xfId="0" applyFont="1" applyBorder="1" applyAlignment="1">
      <alignment vertical="center" wrapText="1"/>
    </xf>
    <xf numFmtId="0" fontId="67" fillId="0" borderId="10" xfId="0" applyFont="1" applyBorder="1" applyAlignment="1">
      <alignment vertical="center" wrapText="1"/>
    </xf>
    <xf numFmtId="0" fontId="58" fillId="0" borderId="10" xfId="0" applyFont="1" applyBorder="1" applyAlignment="1">
      <alignment horizontal="center" vertical="center" wrapText="1"/>
    </xf>
    <xf numFmtId="166" fontId="67" fillId="0" borderId="10" xfId="0" applyNumberFormat="1" applyFont="1" applyBorder="1" applyAlignment="1">
      <alignment horizontal="right" vertical="center" wrapText="1"/>
    </xf>
    <xf numFmtId="0" fontId="69" fillId="0" borderId="0" xfId="40" applyFont="1"/>
    <xf numFmtId="0" fontId="71" fillId="0" borderId="0" xfId="40" applyFont="1"/>
    <xf numFmtId="0" fontId="82" fillId="0" borderId="0" xfId="66" applyFont="1" applyBorder="1" applyAlignment="1">
      <alignment horizontal="center"/>
    </xf>
    <xf numFmtId="0" fontId="82" fillId="0" borderId="0" xfId="66" applyFont="1" applyBorder="1" applyAlignment="1">
      <alignment wrapText="1"/>
    </xf>
    <xf numFmtId="0" fontId="82" fillId="0" borderId="0" xfId="66" applyFont="1" applyBorder="1" applyAlignment="1">
      <alignment horizontal="center" wrapText="1"/>
    </xf>
    <xf numFmtId="0" fontId="66" fillId="0" borderId="0" xfId="66" applyFont="1"/>
    <xf numFmtId="166" fontId="82" fillId="0" borderId="0" xfId="66" applyNumberFormat="1" applyFont="1" applyBorder="1"/>
    <xf numFmtId="0" fontId="58" fillId="0" borderId="10" xfId="66" applyFont="1" applyBorder="1" applyAlignment="1">
      <alignment vertical="center"/>
    </xf>
    <xf numFmtId="0" fontId="58" fillId="0" borderId="10" xfId="66" applyFont="1" applyBorder="1" applyAlignment="1">
      <alignment horizontal="center" vertical="center" wrapText="1"/>
    </xf>
    <xf numFmtId="0" fontId="58" fillId="0" borderId="10" xfId="66" applyFont="1" applyBorder="1" applyAlignment="1">
      <alignment horizontal="center" vertical="center"/>
    </xf>
    <xf numFmtId="0" fontId="58" fillId="0" borderId="10" xfId="66" applyFont="1" applyBorder="1" applyAlignment="1">
      <alignment horizontal="right" vertical="center"/>
    </xf>
    <xf numFmtId="166" fontId="58" fillId="0" borderId="10" xfId="66" applyNumberFormat="1" applyFont="1" applyBorder="1" applyAlignment="1">
      <alignment horizontal="right" vertical="center"/>
    </xf>
    <xf numFmtId="0" fontId="67" fillId="0" borderId="10" xfId="66" applyFont="1" applyBorder="1" applyAlignment="1">
      <alignment vertical="center"/>
    </xf>
    <xf numFmtId="166" fontId="67" fillId="0" borderId="10" xfId="66" applyNumberFormat="1" applyFont="1" applyBorder="1" applyAlignment="1">
      <alignment horizontal="right" vertical="center"/>
    </xf>
    <xf numFmtId="0" fontId="58" fillId="24" borderId="10" xfId="40" applyFont="1" applyFill="1" applyBorder="1" applyAlignment="1">
      <alignment horizontal="center"/>
    </xf>
    <xf numFmtId="0" fontId="67" fillId="24" borderId="10" xfId="40" applyFont="1" applyFill="1" applyBorder="1" applyAlignment="1">
      <alignment horizontal="center" vertical="center" wrapText="1"/>
    </xf>
    <xf numFmtId="166" fontId="67" fillId="0" borderId="10" xfId="40" applyNumberFormat="1" applyFont="1" applyBorder="1" applyAlignment="1">
      <alignment horizontal="center" vertical="center" wrapText="1"/>
    </xf>
    <xf numFmtId="0" fontId="67" fillId="0" borderId="10" xfId="40" applyFont="1" applyBorder="1" applyAlignment="1">
      <alignment horizontal="center"/>
    </xf>
    <xf numFmtId="0" fontId="67" fillId="0" borderId="10" xfId="40" applyFont="1" applyBorder="1" applyAlignment="1">
      <alignment horizontal="center" wrapText="1"/>
    </xf>
    <xf numFmtId="166" fontId="58" fillId="0" borderId="10" xfId="40" applyNumberFormat="1" applyFont="1" applyBorder="1" applyAlignment="1">
      <alignment horizontal="center"/>
    </xf>
    <xf numFmtId="0" fontId="58" fillId="0" borderId="10" xfId="40" applyFont="1" applyBorder="1" applyAlignment="1">
      <alignment horizontal="center"/>
    </xf>
    <xf numFmtId="0" fontId="58" fillId="0" borderId="10" xfId="40" applyFont="1" applyBorder="1"/>
    <xf numFmtId="0" fontId="58" fillId="0" borderId="10" xfId="40" applyFont="1" applyBorder="1" applyAlignment="1">
      <alignment horizontal="left" wrapText="1"/>
    </xf>
    <xf numFmtId="0" fontId="58" fillId="24" borderId="10" xfId="40" applyFont="1" applyFill="1" applyBorder="1" applyAlignment="1">
      <alignment horizontal="center" wrapText="1"/>
    </xf>
    <xf numFmtId="1" fontId="58" fillId="0" borderId="10" xfId="40" applyNumberFormat="1" applyFont="1" applyBorder="1" applyAlignment="1">
      <alignment horizontal="center" wrapText="1"/>
    </xf>
    <xf numFmtId="0" fontId="67" fillId="0" borderId="10" xfId="40" applyFont="1" applyBorder="1" applyAlignment="1">
      <alignment wrapText="1"/>
    </xf>
    <xf numFmtId="0" fontId="60" fillId="0" borderId="0" xfId="65" applyFont="1"/>
    <xf numFmtId="0" fontId="60" fillId="0" borderId="10" xfId="65" applyFont="1" applyBorder="1" applyAlignment="1">
      <alignment horizontal="left" wrapText="1"/>
    </xf>
    <xf numFmtId="166" fontId="85" fillId="0" borderId="0" xfId="39" applyNumberFormat="1" applyFont="1"/>
    <xf numFmtId="0" fontId="58" fillId="24" borderId="0" xfId="39" applyFont="1" applyFill="1" applyAlignment="1">
      <alignment horizontal="center"/>
    </xf>
    <xf numFmtId="0" fontId="58" fillId="24" borderId="0" xfId="39" applyFont="1" applyFill="1" applyAlignment="1">
      <alignment horizontal="centerContinuous" wrapText="1"/>
    </xf>
    <xf numFmtId="0" fontId="58" fillId="0" borderId="0" xfId="39" applyFont="1"/>
    <xf numFmtId="0" fontId="67" fillId="0" borderId="10" xfId="96" applyFont="1" applyBorder="1" applyAlignment="1">
      <alignment horizontal="center"/>
    </xf>
    <xf numFmtId="0" fontId="79" fillId="0" borderId="0" xfId="100" applyFont="1"/>
    <xf numFmtId="0" fontId="69" fillId="0" borderId="0" xfId="100" applyFont="1"/>
    <xf numFmtId="166" fontId="67" fillId="0" borderId="10" xfId="97" applyNumberFormat="1" applyFont="1" applyBorder="1" applyAlignment="1">
      <alignment horizontal="center"/>
    </xf>
    <xf numFmtId="0" fontId="67" fillId="0" borderId="10" xfId="100" applyFont="1" applyBorder="1" applyAlignment="1">
      <alignment horizontal="center" vertical="center" wrapText="1"/>
    </xf>
    <xf numFmtId="0" fontId="58" fillId="0" borderId="10" xfId="97" applyFont="1" applyBorder="1" applyAlignment="1">
      <alignment horizontal="center" vertical="center" wrapText="1"/>
    </xf>
    <xf numFmtId="0" fontId="58" fillId="0" borderId="10" xfId="100" applyFont="1" applyBorder="1"/>
    <xf numFmtId="0" fontId="58" fillId="0" borderId="10" xfId="100" applyFont="1" applyBorder="1" applyAlignment="1">
      <alignment horizontal="left" wrapText="1"/>
    </xf>
    <xf numFmtId="0" fontId="58" fillId="0" borderId="10" xfId="97" applyFont="1" applyBorder="1" applyAlignment="1">
      <alignment horizontal="center"/>
    </xf>
    <xf numFmtId="0" fontId="67" fillId="0" borderId="10" xfId="100" applyFont="1" applyBorder="1" applyAlignment="1">
      <alignment wrapText="1"/>
    </xf>
    <xf numFmtId="0" fontId="58" fillId="0" borderId="10" xfId="97" applyFont="1" applyBorder="1" applyAlignment="1">
      <alignment horizontal="justify"/>
    </xf>
    <xf numFmtId="0" fontId="58" fillId="0" borderId="0" xfId="38" applyFont="1" applyFill="1"/>
    <xf numFmtId="0" fontId="61" fillId="0" borderId="0" xfId="65" applyFont="1" applyFill="1"/>
    <xf numFmtId="0" fontId="58" fillId="0" borderId="0" xfId="65" applyFont="1" applyFill="1" applyAlignment="1">
      <alignment wrapText="1"/>
    </xf>
    <xf numFmtId="0" fontId="69" fillId="0" borderId="0" xfId="39" applyFont="1" applyFill="1"/>
    <xf numFmtId="0" fontId="69" fillId="24" borderId="0" xfId="39" applyFont="1" applyFill="1"/>
    <xf numFmtId="0" fontId="71" fillId="0" borderId="0" xfId="39" applyFont="1" applyFill="1"/>
    <xf numFmtId="0" fontId="71" fillId="24" borderId="0" xfId="39" applyFont="1" applyFill="1"/>
    <xf numFmtId="0" fontId="66" fillId="0" borderId="0" xfId="65" applyFont="1" applyFill="1"/>
    <xf numFmtId="0" fontId="89" fillId="0" borderId="0" xfId="65" applyFont="1" applyFill="1"/>
    <xf numFmtId="0" fontId="83" fillId="0" borderId="0" xfId="65" applyFont="1" applyFill="1"/>
    <xf numFmtId="166" fontId="83" fillId="0" borderId="0" xfId="65" applyNumberFormat="1" applyFont="1" applyFill="1"/>
    <xf numFmtId="0" fontId="58" fillId="0" borderId="10" xfId="65" applyFont="1" applyFill="1" applyBorder="1" applyAlignment="1">
      <alignment vertical="center"/>
    </xf>
    <xf numFmtId="0" fontId="58" fillId="0" borderId="10" xfId="65" applyFont="1" applyFill="1" applyBorder="1"/>
    <xf numFmtId="0" fontId="67" fillId="0" borderId="10" xfId="65" applyFont="1" applyFill="1" applyBorder="1"/>
    <xf numFmtId="166" fontId="67" fillId="0" borderId="10" xfId="65" applyNumberFormat="1" applyFont="1" applyFill="1" applyBorder="1"/>
    <xf numFmtId="166" fontId="71" fillId="0" borderId="0" xfId="39" applyNumberFormat="1" applyFont="1" applyBorder="1" applyAlignment="1">
      <alignment horizontal="center"/>
    </xf>
    <xf numFmtId="0" fontId="58" fillId="0" borderId="0" xfId="90" applyFont="1"/>
    <xf numFmtId="0" fontId="57" fillId="0" borderId="0" xfId="90" applyFont="1"/>
    <xf numFmtId="0" fontId="66" fillId="0" borderId="0" xfId="90" applyFont="1"/>
    <xf numFmtId="0" fontId="58" fillId="0" borderId="0" xfId="95" applyFont="1" applyAlignment="1"/>
    <xf numFmtId="0" fontId="66" fillId="0" borderId="0" xfId="0" applyFont="1"/>
    <xf numFmtId="166" fontId="66" fillId="0" borderId="0" xfId="90" applyNumberFormat="1" applyFont="1"/>
    <xf numFmtId="0" fontId="89" fillId="0" borderId="0" xfId="90" applyFont="1"/>
    <xf numFmtId="166" fontId="89" fillId="0" borderId="0" xfId="90" applyNumberFormat="1" applyFont="1"/>
    <xf numFmtId="0" fontId="58" fillId="0" borderId="10" xfId="90" applyFont="1" applyBorder="1" applyAlignment="1">
      <alignment vertical="center"/>
    </xf>
    <xf numFmtId="0" fontId="58" fillId="0" borderId="10" xfId="0" applyFont="1" applyBorder="1" applyAlignment="1">
      <alignment vertical="center"/>
    </xf>
    <xf numFmtId="0" fontId="58" fillId="0" borderId="10" xfId="0" applyFont="1" applyBorder="1" applyAlignment="1">
      <alignment horizontal="right" vertical="center"/>
    </xf>
    <xf numFmtId="166" fontId="58" fillId="0" borderId="10" xfId="0" applyNumberFormat="1" applyFont="1" applyBorder="1" applyAlignment="1">
      <alignment horizontal="right" vertical="center"/>
    </xf>
    <xf numFmtId="0" fontId="67" fillId="0" borderId="10" xfId="90" applyFont="1" applyBorder="1" applyAlignment="1">
      <alignment vertical="center"/>
    </xf>
    <xf numFmtId="0" fontId="58" fillId="0" borderId="10" xfId="90" applyFont="1" applyBorder="1" applyAlignment="1">
      <alignment horizontal="right" vertical="center"/>
    </xf>
    <xf numFmtId="166" fontId="67" fillId="0" borderId="10" xfId="90" applyNumberFormat="1" applyFont="1" applyBorder="1" applyAlignment="1">
      <alignment horizontal="right" vertical="center"/>
    </xf>
    <xf numFmtId="0" fontId="58" fillId="0" borderId="0" xfId="65" applyFont="1" applyFill="1"/>
    <xf numFmtId="0" fontId="57" fillId="0" borderId="0" xfId="40" applyFont="1" applyFill="1"/>
    <xf numFmtId="0" fontId="57" fillId="0" borderId="0" xfId="40" applyFont="1"/>
    <xf numFmtId="166" fontId="57" fillId="0" borderId="10" xfId="40" applyNumberFormat="1" applyFont="1" applyBorder="1" applyAlignment="1">
      <alignment horizontal="center"/>
    </xf>
    <xf numFmtId="169" fontId="67" fillId="0" borderId="10" xfId="40" applyNumberFormat="1" applyFont="1" applyBorder="1" applyAlignment="1">
      <alignment horizontal="center"/>
    </xf>
    <xf numFmtId="0" fontId="67" fillId="0" borderId="0" xfId="40" applyFont="1"/>
    <xf numFmtId="0" fontId="67" fillId="0" borderId="0" xfId="40" applyFont="1" applyFill="1"/>
    <xf numFmtId="166" fontId="67" fillId="0" borderId="0" xfId="40" applyNumberFormat="1" applyFont="1" applyBorder="1" applyAlignment="1">
      <alignment horizontal="center"/>
    </xf>
    <xf numFmtId="0" fontId="58" fillId="24" borderId="0" xfId="40" applyFont="1" applyFill="1" applyAlignment="1">
      <alignment horizontal="center"/>
    </xf>
    <xf numFmtId="0" fontId="58" fillId="24" borderId="0" xfId="40" applyFont="1" applyFill="1" applyAlignment="1">
      <alignment horizontal="centerContinuous" wrapText="1"/>
    </xf>
    <xf numFmtId="0" fontId="58" fillId="0" borderId="0" xfId="40" applyFont="1" applyFill="1"/>
    <xf numFmtId="0" fontId="58" fillId="0" borderId="0" xfId="40" applyFont="1"/>
    <xf numFmtId="0" fontId="58" fillId="24" borderId="0" xfId="40" applyFont="1" applyFill="1" applyAlignment="1">
      <alignment horizontal="center" wrapText="1"/>
    </xf>
    <xf numFmtId="0" fontId="58" fillId="24" borderId="0" xfId="40" applyFont="1" applyFill="1" applyAlignment="1">
      <alignment wrapText="1"/>
    </xf>
    <xf numFmtId="0" fontId="58" fillId="0" borderId="0" xfId="40" applyFont="1" applyFill="1" applyAlignment="1">
      <alignment wrapText="1"/>
    </xf>
    <xf numFmtId="0" fontId="58" fillId="0" borderId="0" xfId="40" applyFont="1" applyAlignment="1">
      <alignment wrapText="1"/>
    </xf>
    <xf numFmtId="0" fontId="58" fillId="24" borderId="10" xfId="40" applyFont="1" applyFill="1" applyBorder="1" applyAlignment="1">
      <alignment vertical="center"/>
    </xf>
    <xf numFmtId="0" fontId="58" fillId="24" borderId="10" xfId="40" applyFont="1" applyFill="1" applyBorder="1" applyAlignment="1">
      <alignment horizontal="center" vertical="center" wrapText="1"/>
    </xf>
    <xf numFmtId="0" fontId="57" fillId="24" borderId="0" xfId="40" applyFont="1" applyFill="1"/>
    <xf numFmtId="0" fontId="58" fillId="24" borderId="10" xfId="40" applyFont="1" applyFill="1" applyBorder="1"/>
    <xf numFmtId="0" fontId="58" fillId="0" borderId="10" xfId="40" applyFont="1" applyBorder="1" applyAlignment="1">
      <alignment horizontal="left" vertical="center" wrapText="1"/>
    </xf>
    <xf numFmtId="0" fontId="67" fillId="24" borderId="10" xfId="40" applyFont="1" applyFill="1" applyBorder="1" applyAlignment="1">
      <alignment vertical="center"/>
    </xf>
    <xf numFmtId="0" fontId="58" fillId="24" borderId="10" xfId="40" applyFont="1" applyFill="1" applyBorder="1" applyAlignment="1">
      <alignment horizontal="center" vertical="center"/>
    </xf>
    <xf numFmtId="166" fontId="58" fillId="25" borderId="10" xfId="0" applyNumberFormat="1" applyFont="1" applyFill="1" applyBorder="1" applyAlignment="1">
      <alignment horizontal="center" vertical="center" wrapText="1"/>
    </xf>
    <xf numFmtId="1" fontId="67" fillId="0" borderId="10" xfId="40" applyNumberFormat="1" applyFont="1" applyBorder="1" applyAlignment="1">
      <alignment horizontal="center" wrapText="1"/>
    </xf>
    <xf numFmtId="166" fontId="67" fillId="0" borderId="10" xfId="40" applyNumberFormat="1" applyFont="1" applyFill="1" applyBorder="1" applyAlignment="1">
      <alignment horizontal="center" wrapText="1"/>
    </xf>
    <xf numFmtId="0" fontId="62" fillId="0" borderId="0" xfId="67" applyFont="1" applyBorder="1" applyAlignment="1">
      <alignment wrapText="1"/>
    </xf>
    <xf numFmtId="0" fontId="63" fillId="24" borderId="0" xfId="67" applyFont="1" applyFill="1" applyBorder="1" applyAlignment="1">
      <alignment wrapText="1"/>
    </xf>
    <xf numFmtId="0" fontId="64" fillId="0" borderId="0" xfId="67" applyFont="1" applyFill="1" applyBorder="1" applyAlignment="1">
      <alignment horizontal="center" wrapText="1"/>
    </xf>
    <xf numFmtId="0" fontId="60" fillId="0" borderId="0" xfId="67" applyFont="1" applyFill="1" applyBorder="1" applyAlignment="1">
      <alignment horizontal="right" wrapText="1"/>
    </xf>
    <xf numFmtId="0" fontId="57" fillId="0" borderId="0" xfId="67" applyFont="1"/>
    <xf numFmtId="0" fontId="63" fillId="24" borderId="0" xfId="67" applyFont="1" applyFill="1" applyBorder="1" applyAlignment="1">
      <alignment horizontal="center" wrapText="1"/>
    </xf>
    <xf numFmtId="0" fontId="65" fillId="24" borderId="0" xfId="67" applyFont="1" applyFill="1" applyBorder="1" applyAlignment="1">
      <alignment horizontal="center" wrapText="1"/>
    </xf>
    <xf numFmtId="0" fontId="65" fillId="0" borderId="0" xfId="67" applyFont="1" applyFill="1" applyBorder="1" applyAlignment="1">
      <alignment horizontal="center" wrapText="1"/>
    </xf>
    <xf numFmtId="0" fontId="94" fillId="0" borderId="0" xfId="67" applyFont="1"/>
    <xf numFmtId="0" fontId="58" fillId="0" borderId="0" xfId="67" applyFont="1"/>
    <xf numFmtId="0" fontId="58" fillId="0" borderId="12" xfId="67" applyFont="1" applyFill="1" applyBorder="1" applyAlignment="1">
      <alignment horizontal="left"/>
    </xf>
    <xf numFmtId="0" fontId="66" fillId="0" borderId="12" xfId="67" applyFont="1" applyFill="1" applyBorder="1" applyAlignment="1">
      <alignment horizontal="centerContinuous" wrapText="1"/>
    </xf>
    <xf numFmtId="0" fontId="67" fillId="0" borderId="0" xfId="67" applyFont="1" applyFill="1" applyBorder="1" applyAlignment="1">
      <alignment horizontal="centerContinuous" wrapText="1"/>
    </xf>
    <xf numFmtId="0" fontId="67" fillId="24" borderId="0" xfId="67" applyFont="1" applyFill="1" applyBorder="1" applyAlignment="1">
      <alignment horizontal="centerContinuous" wrapText="1"/>
    </xf>
    <xf numFmtId="0" fontId="58" fillId="0" borderId="0" xfId="67" applyFont="1" applyFill="1"/>
    <xf numFmtId="0" fontId="60" fillId="0" borderId="0" xfId="67" applyFont="1"/>
    <xf numFmtId="0" fontId="61" fillId="0" borderId="0" xfId="67" applyFont="1" applyAlignment="1">
      <alignment horizontal="center"/>
    </xf>
    <xf numFmtId="0" fontId="61" fillId="0" borderId="0" xfId="67" applyFont="1" applyFill="1" applyAlignment="1">
      <alignment horizontal="center"/>
    </xf>
    <xf numFmtId="0" fontId="95" fillId="0" borderId="0" xfId="67" applyFont="1"/>
    <xf numFmtId="0" fontId="16" fillId="0" borderId="0" xfId="67" applyFont="1"/>
    <xf numFmtId="0" fontId="16" fillId="0" borderId="0" xfId="67" applyNumberFormat="1" applyFont="1" applyFill="1" applyBorder="1" applyAlignment="1">
      <alignment wrapText="1"/>
    </xf>
    <xf numFmtId="0" fontId="95" fillId="0" borderId="0" xfId="67" applyFont="1" applyFill="1" applyBorder="1"/>
    <xf numFmtId="0" fontId="95" fillId="0" borderId="0" xfId="67" applyFont="1" applyBorder="1"/>
    <xf numFmtId="0" fontId="96" fillId="0" borderId="14" xfId="67" applyNumberFormat="1" applyFont="1" applyFill="1" applyBorder="1" applyAlignment="1">
      <alignment horizontal="center" vertical="center" wrapText="1"/>
    </xf>
    <xf numFmtId="0" fontId="96" fillId="0" borderId="15" xfId="67" applyNumberFormat="1" applyFont="1" applyFill="1" applyBorder="1" applyAlignment="1">
      <alignment horizontal="center" vertical="center" wrapText="1"/>
    </xf>
    <xf numFmtId="0" fontId="94" fillId="0" borderId="0" xfId="67" applyFont="1" applyAlignment="1">
      <alignment vertical="center"/>
    </xf>
    <xf numFmtId="0" fontId="60" fillId="0" borderId="14" xfId="67" applyFont="1" applyBorder="1" applyAlignment="1">
      <alignment horizontal="center"/>
    </xf>
    <xf numFmtId="0" fontId="60" fillId="24" borderId="15" xfId="67" applyFont="1" applyFill="1" applyBorder="1" applyAlignment="1">
      <alignment horizontal="center" vertical="center"/>
    </xf>
    <xf numFmtId="0" fontId="60" fillId="0" borderId="15" xfId="67" applyFont="1" applyFill="1" applyBorder="1" applyAlignment="1">
      <alignment horizontal="center" vertical="center"/>
    </xf>
    <xf numFmtId="0" fontId="60" fillId="24" borderId="16" xfId="67" applyFont="1" applyFill="1" applyBorder="1" applyAlignment="1">
      <alignment horizontal="center" vertical="center"/>
    </xf>
    <xf numFmtId="0" fontId="58" fillId="24" borderId="14" xfId="67" applyFont="1" applyFill="1" applyBorder="1"/>
    <xf numFmtId="0" fontId="68" fillId="24" borderId="15" xfId="67" applyFont="1" applyFill="1" applyBorder="1" applyAlignment="1">
      <alignment wrapText="1"/>
    </xf>
    <xf numFmtId="166" fontId="17" fillId="0" borderId="15" xfId="67" applyNumberFormat="1" applyFont="1" applyFill="1" applyBorder="1" applyAlignment="1">
      <alignment horizontal="center" wrapText="1"/>
    </xf>
    <xf numFmtId="2" fontId="94" fillId="0" borderId="0" xfId="67" applyNumberFormat="1" applyFont="1" applyAlignment="1">
      <alignment vertical="center"/>
    </xf>
    <xf numFmtId="0" fontId="58" fillId="24" borderId="22" xfId="67" applyFont="1" applyFill="1" applyBorder="1"/>
    <xf numFmtId="0" fontId="69" fillId="24" borderId="23" xfId="67" applyFont="1" applyFill="1" applyBorder="1"/>
    <xf numFmtId="168" fontId="58" fillId="0" borderId="23" xfId="67" applyNumberFormat="1" applyFont="1" applyBorder="1" applyAlignment="1">
      <alignment horizontal="center"/>
    </xf>
    <xf numFmtId="1" fontId="58" fillId="0" borderId="23" xfId="67" applyNumberFormat="1" applyFont="1" applyFill="1" applyBorder="1" applyAlignment="1">
      <alignment horizontal="center"/>
    </xf>
    <xf numFmtId="1" fontId="58" fillId="0" borderId="24" xfId="67" applyNumberFormat="1" applyFont="1" applyBorder="1" applyAlignment="1">
      <alignment horizontal="center"/>
    </xf>
    <xf numFmtId="0" fontId="58" fillId="24" borderId="25" xfId="67" applyFont="1" applyFill="1" applyBorder="1"/>
    <xf numFmtId="0" fontId="16" fillId="0" borderId="10" xfId="67" applyNumberFormat="1" applyFont="1" applyFill="1" applyBorder="1" applyAlignment="1">
      <alignment horizontal="left" vertical="center" wrapText="1"/>
    </xf>
    <xf numFmtId="166" fontId="58" fillId="0" borderId="10" xfId="104" applyNumberFormat="1" applyFont="1" applyFill="1" applyBorder="1" applyAlignment="1">
      <alignment horizontal="center" vertical="center" wrapText="1"/>
    </xf>
    <xf numFmtId="0" fontId="97" fillId="0" borderId="0" xfId="67" applyFont="1" applyAlignment="1">
      <alignment vertical="center"/>
    </xf>
    <xf numFmtId="166" fontId="97" fillId="0" borderId="0" xfId="67" applyNumberFormat="1" applyFont="1" applyAlignment="1">
      <alignment vertical="center"/>
    </xf>
    <xf numFmtId="2" fontId="97" fillId="0" borderId="0" xfId="67" applyNumberFormat="1" applyFont="1" applyAlignment="1">
      <alignment vertical="center"/>
    </xf>
    <xf numFmtId="166" fontId="58" fillId="0" borderId="10" xfId="105" applyNumberFormat="1" applyFont="1" applyFill="1" applyBorder="1" applyAlignment="1">
      <alignment horizontal="center" vertical="center" wrapText="1"/>
    </xf>
    <xf numFmtId="166" fontId="58" fillId="25" borderId="10" xfId="105" applyNumberFormat="1" applyFont="1" applyFill="1" applyBorder="1" applyAlignment="1">
      <alignment horizontal="center" vertical="center" wrapText="1"/>
    </xf>
    <xf numFmtId="0" fontId="98" fillId="0" borderId="0" xfId="67" applyNumberFormat="1" applyFont="1" applyFill="1" applyBorder="1" applyAlignment="1">
      <alignment horizontal="left" vertical="center"/>
    </xf>
    <xf numFmtId="0" fontId="58" fillId="24" borderId="26" xfId="67" applyFont="1" applyFill="1" applyBorder="1"/>
    <xf numFmtId="0" fontId="16" fillId="0" borderId="27" xfId="67" applyNumberFormat="1" applyFont="1" applyFill="1" applyBorder="1" applyAlignment="1">
      <alignment horizontal="left" vertical="center" wrapText="1"/>
    </xf>
    <xf numFmtId="166" fontId="58" fillId="0" borderId="27" xfId="105" applyNumberFormat="1" applyFont="1" applyFill="1" applyBorder="1" applyAlignment="1">
      <alignment horizontal="center" vertical="center" wrapText="1"/>
    </xf>
    <xf numFmtId="166" fontId="97" fillId="0" borderId="0" xfId="67" applyNumberFormat="1" applyFont="1"/>
    <xf numFmtId="0" fontId="72" fillId="0" borderId="0" xfId="67"/>
    <xf numFmtId="166" fontId="58" fillId="0" borderId="17" xfId="106" applyNumberFormat="1" applyFont="1" applyFill="1" applyBorder="1" applyAlignment="1">
      <alignment horizontal="center" vertical="center" wrapText="1"/>
    </xf>
    <xf numFmtId="0" fontId="72" fillId="0" borderId="0" xfId="67" applyFill="1"/>
    <xf numFmtId="166" fontId="94" fillId="0" borderId="0" xfId="67" applyNumberFormat="1" applyFont="1" applyAlignment="1">
      <alignment vertical="center"/>
    </xf>
    <xf numFmtId="0" fontId="0" fillId="0" borderId="0" xfId="0" applyFill="1"/>
    <xf numFmtId="166" fontId="0" fillId="0" borderId="0" xfId="0" applyNumberFormat="1"/>
    <xf numFmtId="166" fontId="0" fillId="26" borderId="0" xfId="0" applyNumberFormat="1" applyFill="1"/>
    <xf numFmtId="166" fontId="58" fillId="27" borderId="10" xfId="104" applyNumberFormat="1" applyFont="1" applyFill="1" applyBorder="1" applyAlignment="1">
      <alignment horizontal="center" vertical="center" wrapText="1"/>
    </xf>
    <xf numFmtId="169" fontId="58" fillId="0" borderId="10" xfId="65" applyNumberFormat="1" applyFont="1" applyBorder="1" applyAlignment="1">
      <alignment horizontal="center" vertical="center"/>
    </xf>
    <xf numFmtId="0" fontId="62" fillId="25" borderId="0" xfId="0" applyFont="1" applyFill="1" applyBorder="1" applyAlignment="1">
      <alignment horizontal="center" wrapText="1"/>
    </xf>
    <xf numFmtId="0" fontId="63" fillId="25" borderId="0" xfId="0" applyFont="1" applyFill="1" applyBorder="1" applyAlignment="1">
      <alignment wrapText="1"/>
    </xf>
    <xf numFmtId="0" fontId="64" fillId="25" borderId="0" xfId="0" applyFont="1" applyFill="1" applyBorder="1" applyAlignment="1">
      <alignment horizontal="center" wrapText="1"/>
    </xf>
    <xf numFmtId="0" fontId="60" fillId="25" borderId="0" xfId="0" applyFont="1" applyFill="1" applyBorder="1" applyAlignment="1">
      <alignment horizontal="right" wrapText="1"/>
    </xf>
    <xf numFmtId="0" fontId="57" fillId="25" borderId="0" xfId="0" applyFont="1" applyFill="1"/>
    <xf numFmtId="0" fontId="63" fillId="25" borderId="0" xfId="0" applyFont="1" applyFill="1" applyBorder="1" applyAlignment="1">
      <alignment horizontal="center" wrapText="1"/>
    </xf>
    <xf numFmtId="0" fontId="65" fillId="25" borderId="0" xfId="0" applyFont="1" applyFill="1" applyBorder="1" applyAlignment="1">
      <alignment horizontal="center" wrapText="1"/>
    </xf>
    <xf numFmtId="0" fontId="90" fillId="25" borderId="0" xfId="0" applyFont="1" applyFill="1"/>
    <xf numFmtId="0" fontId="58" fillId="25" borderId="0" xfId="0" applyFont="1" applyFill="1" applyAlignment="1">
      <alignment horizontal="center"/>
    </xf>
    <xf numFmtId="0" fontId="58" fillId="25" borderId="12" xfId="0" applyFont="1" applyFill="1" applyBorder="1" applyAlignment="1">
      <alignment horizontal="left"/>
    </xf>
    <xf numFmtId="0" fontId="66" fillId="25" borderId="12" xfId="0" applyFont="1" applyFill="1" applyBorder="1" applyAlignment="1">
      <alignment horizontal="centerContinuous" wrapText="1"/>
    </xf>
    <xf numFmtId="0" fontId="67" fillId="25" borderId="0" xfId="0" applyFont="1" applyFill="1" applyBorder="1" applyAlignment="1">
      <alignment horizontal="centerContinuous" wrapText="1"/>
    </xf>
    <xf numFmtId="0" fontId="58" fillId="25" borderId="0" xfId="0" applyFont="1" applyFill="1"/>
    <xf numFmtId="0" fontId="60" fillId="25" borderId="0" xfId="0" applyFont="1" applyFill="1"/>
    <xf numFmtId="0" fontId="61" fillId="25" borderId="0" xfId="0" applyFont="1" applyFill="1" applyAlignment="1">
      <alignment horizontal="center"/>
    </xf>
    <xf numFmtId="0" fontId="81" fillId="25" borderId="0" xfId="0" applyFont="1" applyFill="1" applyAlignment="1">
      <alignment horizontal="center"/>
    </xf>
    <xf numFmtId="0" fontId="58" fillId="25" borderId="0" xfId="0" applyNumberFormat="1" applyFont="1" applyFill="1" applyBorder="1" applyAlignment="1">
      <alignment wrapText="1"/>
    </xf>
    <xf numFmtId="0" fontId="81" fillId="25" borderId="0" xfId="0" applyFont="1" applyFill="1" applyBorder="1"/>
    <xf numFmtId="0" fontId="81" fillId="25" borderId="0" xfId="0" applyFont="1" applyFill="1"/>
    <xf numFmtId="0" fontId="90" fillId="25" borderId="0" xfId="0" applyFont="1" applyFill="1" applyAlignment="1">
      <alignment vertical="center"/>
    </xf>
    <xf numFmtId="0" fontId="58" fillId="25" borderId="10" xfId="0" applyNumberFormat="1" applyFont="1" applyFill="1" applyBorder="1" applyAlignment="1">
      <alignment horizontal="left" vertical="center" wrapText="1"/>
    </xf>
    <xf numFmtId="0" fontId="92" fillId="25" borderId="0" xfId="0" applyFont="1" applyFill="1" applyAlignment="1">
      <alignment vertical="center"/>
    </xf>
    <xf numFmtId="0" fontId="58" fillId="25" borderId="10" xfId="90" applyNumberFormat="1" applyFont="1" applyFill="1" applyBorder="1" applyAlignment="1">
      <alignment horizontal="left" vertical="center" wrapText="1"/>
    </xf>
    <xf numFmtId="0" fontId="93" fillId="25" borderId="0" xfId="0" applyFont="1" applyFill="1"/>
    <xf numFmtId="0" fontId="92" fillId="25" borderId="0" xfId="0" applyFont="1" applyFill="1"/>
    <xf numFmtId="0" fontId="90" fillId="25" borderId="0" xfId="0" applyFont="1" applyFill="1" applyAlignment="1">
      <alignment horizontal="center"/>
    </xf>
    <xf numFmtId="0" fontId="67" fillId="25" borderId="0" xfId="0" applyFont="1" applyFill="1"/>
    <xf numFmtId="0" fontId="58" fillId="25" borderId="0" xfId="38" applyFont="1" applyFill="1"/>
    <xf numFmtId="0" fontId="77" fillId="25" borderId="12" xfId="38" applyFont="1" applyFill="1" applyBorder="1" applyAlignment="1">
      <alignment horizontal="left" wrapText="1"/>
    </xf>
    <xf numFmtId="0" fontId="66" fillId="25" borderId="12" xfId="38" applyFont="1" applyFill="1" applyBorder="1" applyAlignment="1">
      <alignment horizontal="left"/>
    </xf>
    <xf numFmtId="0" fontId="67" fillId="25" borderId="12" xfId="38" applyFont="1" applyFill="1" applyBorder="1" applyAlignment="1">
      <alignment horizontal="centerContinuous" wrapText="1"/>
    </xf>
    <xf numFmtId="0" fontId="67" fillId="25" borderId="0" xfId="38" applyFont="1" applyFill="1" applyBorder="1" applyAlignment="1">
      <alignment horizontal="centerContinuous" wrapText="1"/>
    </xf>
    <xf numFmtId="0" fontId="64" fillId="25" borderId="0" xfId="38" applyFont="1" applyFill="1" applyBorder="1" applyAlignment="1">
      <alignment horizontal="centerContinuous" wrapText="1"/>
    </xf>
    <xf numFmtId="0" fontId="61" fillId="25" borderId="0" xfId="65" applyFont="1" applyFill="1"/>
    <xf numFmtId="0" fontId="67" fillId="25" borderId="0" xfId="65" applyFont="1" applyFill="1" applyBorder="1" applyAlignment="1">
      <alignment horizontal="centerContinuous" vertical="center" wrapText="1"/>
    </xf>
    <xf numFmtId="0" fontId="58" fillId="25" borderId="0" xfId="65" applyFont="1" applyFill="1" applyBorder="1" applyAlignment="1">
      <alignment horizontal="centerContinuous" vertical="center" wrapText="1"/>
    </xf>
    <xf numFmtId="0" fontId="58" fillId="25" borderId="0" xfId="65" applyFont="1" applyFill="1" applyBorder="1" applyAlignment="1">
      <alignment horizontal="center" vertical="center" wrapText="1"/>
    </xf>
    <xf numFmtId="0" fontId="66" fillId="25" borderId="0" xfId="65" applyFont="1" applyFill="1" applyBorder="1"/>
    <xf numFmtId="0" fontId="66" fillId="25" borderId="0" xfId="65" applyFont="1" applyFill="1"/>
    <xf numFmtId="0" fontId="58" fillId="25" borderId="10" xfId="65" applyFont="1" applyFill="1" applyBorder="1" applyAlignment="1">
      <alignment horizontal="center" vertical="center"/>
    </xf>
    <xf numFmtId="0" fontId="58" fillId="25" borderId="10" xfId="65" applyFont="1" applyFill="1" applyBorder="1" applyAlignment="1">
      <alignment horizontal="center" vertical="center" wrapText="1"/>
    </xf>
    <xf numFmtId="166" fontId="58" fillId="25" borderId="10" xfId="65" applyNumberFormat="1" applyFont="1" applyFill="1" applyBorder="1" applyAlignment="1">
      <alignment horizontal="center" vertical="center" wrapText="1"/>
    </xf>
    <xf numFmtId="0" fontId="58" fillId="25" borderId="10" xfId="65" applyFont="1" applyFill="1" applyBorder="1" applyAlignment="1">
      <alignment horizontal="center"/>
    </xf>
    <xf numFmtId="0" fontId="58" fillId="25" borderId="10" xfId="65" applyFont="1" applyFill="1" applyBorder="1" applyAlignment="1">
      <alignment horizontal="center" wrapText="1"/>
    </xf>
    <xf numFmtId="0" fontId="58" fillId="25" borderId="10" xfId="65" applyFont="1" applyFill="1" applyBorder="1" applyAlignment="1">
      <alignment horizontal="left" wrapText="1"/>
    </xf>
    <xf numFmtId="1" fontId="58" fillId="25" borderId="10" xfId="65" applyNumberFormat="1" applyFont="1" applyFill="1" applyBorder="1" applyAlignment="1">
      <alignment horizontal="center"/>
    </xf>
    <xf numFmtId="166" fontId="58" fillId="25" borderId="10" xfId="65" applyNumberFormat="1" applyFont="1" applyFill="1" applyBorder="1"/>
    <xf numFmtId="0" fontId="58" fillId="25" borderId="10" xfId="65" applyFont="1" applyFill="1" applyBorder="1" applyAlignment="1">
      <alignment wrapText="1"/>
    </xf>
    <xf numFmtId="0" fontId="18" fillId="25" borderId="0" xfId="0" applyFont="1" applyFill="1"/>
    <xf numFmtId="0" fontId="5" fillId="25" borderId="0" xfId="65" applyFont="1" applyFill="1"/>
    <xf numFmtId="0" fontId="16" fillId="25" borderId="21" xfId="0" applyFont="1" applyFill="1" applyBorder="1" applyAlignment="1">
      <alignment vertical="center"/>
    </xf>
    <xf numFmtId="0" fontId="18" fillId="25" borderId="18" xfId="0" applyFont="1" applyFill="1" applyBorder="1"/>
    <xf numFmtId="0" fontId="18" fillId="25" borderId="13" xfId="0" applyFont="1" applyFill="1" applyBorder="1"/>
    <xf numFmtId="0" fontId="18" fillId="25" borderId="10" xfId="0" applyFont="1" applyFill="1" applyBorder="1" applyAlignment="1">
      <alignment horizontal="center"/>
    </xf>
    <xf numFmtId="0" fontId="18" fillId="25" borderId="10" xfId="0" applyFont="1" applyFill="1" applyBorder="1"/>
    <xf numFmtId="0" fontId="24" fillId="25" borderId="10" xfId="0" applyFont="1" applyFill="1" applyBorder="1"/>
    <xf numFmtId="0" fontId="66" fillId="25" borderId="10" xfId="65" applyFont="1" applyFill="1" applyBorder="1" applyAlignment="1">
      <alignment horizontal="center"/>
    </xf>
    <xf numFmtId="0" fontId="66" fillId="25" borderId="10" xfId="65" applyFont="1" applyFill="1" applyBorder="1" applyAlignment="1">
      <alignment horizontal="center" wrapText="1"/>
    </xf>
    <xf numFmtId="0" fontId="78" fillId="25" borderId="10" xfId="65" applyFont="1" applyFill="1" applyBorder="1" applyAlignment="1">
      <alignment horizontal="center"/>
    </xf>
    <xf numFmtId="169" fontId="58" fillId="25" borderId="10" xfId="65" applyNumberFormat="1" applyFont="1" applyFill="1" applyBorder="1" applyAlignment="1">
      <alignment horizontal="center"/>
    </xf>
    <xf numFmtId="169" fontId="58" fillId="25" borderId="10" xfId="65" applyNumberFormat="1" applyFont="1" applyFill="1" applyBorder="1" applyAlignment="1">
      <alignment horizontal="center" wrapText="1"/>
    </xf>
    <xf numFmtId="0" fontId="58" fillId="25" borderId="10" xfId="40" applyFont="1" applyFill="1" applyBorder="1" applyAlignment="1">
      <alignment horizontal="center" wrapText="1"/>
    </xf>
    <xf numFmtId="0" fontId="66" fillId="25" borderId="0" xfId="65" applyFont="1" applyFill="1" applyBorder="1" applyAlignment="1">
      <alignment horizontal="center"/>
    </xf>
    <xf numFmtId="0" fontId="66" fillId="25" borderId="0" xfId="65" applyFont="1" applyFill="1" applyBorder="1" applyAlignment="1">
      <alignment horizontal="center" wrapText="1"/>
    </xf>
    <xf numFmtId="166" fontId="66" fillId="25" borderId="0" xfId="65" applyNumberFormat="1" applyFont="1" applyFill="1" applyBorder="1" applyAlignment="1">
      <alignment horizontal="center" wrapText="1"/>
    </xf>
    <xf numFmtId="1" fontId="66" fillId="25" borderId="0" xfId="65" applyNumberFormat="1" applyFont="1" applyFill="1" applyBorder="1"/>
    <xf numFmtId="0" fontId="58" fillId="25" borderId="0" xfId="65" applyFont="1" applyFill="1"/>
    <xf numFmtId="0" fontId="58" fillId="25" borderId="13" xfId="0" applyFont="1" applyFill="1" applyBorder="1"/>
    <xf numFmtId="0" fontId="58" fillId="25" borderId="10" xfId="0" applyFont="1" applyFill="1" applyBorder="1"/>
    <xf numFmtId="0" fontId="67" fillId="25" borderId="10" xfId="0" applyFont="1" applyFill="1" applyBorder="1"/>
    <xf numFmtId="0" fontId="67" fillId="25" borderId="11" xfId="0" applyFont="1" applyFill="1" applyBorder="1"/>
    <xf numFmtId="1" fontId="67" fillId="25" borderId="13" xfId="0" applyNumberFormat="1" applyFont="1" applyFill="1" applyBorder="1"/>
    <xf numFmtId="0" fontId="64" fillId="25" borderId="10" xfId="65" applyFont="1" applyFill="1" applyBorder="1" applyAlignment="1">
      <alignment horizontal="center"/>
    </xf>
    <xf numFmtId="0" fontId="64" fillId="25" borderId="10" xfId="65" applyFont="1" applyFill="1" applyBorder="1" applyAlignment="1">
      <alignment horizontal="center" wrapText="1"/>
    </xf>
    <xf numFmtId="0" fontId="60" fillId="25" borderId="10" xfId="65" applyFont="1" applyFill="1" applyBorder="1" applyAlignment="1">
      <alignment horizontal="center"/>
    </xf>
    <xf numFmtId="0" fontId="58" fillId="25" borderId="10" xfId="38" applyFont="1" applyFill="1" applyBorder="1" applyAlignment="1">
      <alignment horizontal="left" wrapText="1"/>
    </xf>
    <xf numFmtId="0" fontId="69" fillId="25" borderId="10" xfId="38" applyFont="1" applyFill="1" applyBorder="1" applyAlignment="1">
      <alignment horizontal="center"/>
    </xf>
    <xf numFmtId="169" fontId="58" fillId="25" borderId="10" xfId="38" applyNumberFormat="1" applyFont="1" applyFill="1" applyBorder="1" applyAlignment="1">
      <alignment horizontal="center" wrapText="1"/>
    </xf>
    <xf numFmtId="0" fontId="58" fillId="25" borderId="10" xfId="38" applyFont="1" applyFill="1" applyBorder="1" applyAlignment="1">
      <alignment horizontal="center"/>
    </xf>
    <xf numFmtId="166" fontId="57" fillId="25" borderId="10" xfId="38" applyNumberFormat="1" applyFont="1" applyFill="1" applyBorder="1" applyAlignment="1">
      <alignment horizontal="center"/>
    </xf>
    <xf numFmtId="0" fontId="67" fillId="25" borderId="10" xfId="65" applyFont="1" applyFill="1" applyBorder="1" applyAlignment="1">
      <alignment wrapText="1"/>
    </xf>
    <xf numFmtId="169" fontId="67" fillId="25" borderId="10" xfId="65" applyNumberFormat="1" applyFont="1" applyFill="1" applyBorder="1" applyAlignment="1">
      <alignment horizontal="center" wrapText="1"/>
    </xf>
    <xf numFmtId="1" fontId="67" fillId="25" borderId="10" xfId="65" applyNumberFormat="1" applyFont="1" applyFill="1" applyBorder="1" applyAlignment="1">
      <alignment horizontal="center" wrapText="1"/>
    </xf>
    <xf numFmtId="0" fontId="67" fillId="25" borderId="10" xfId="65" applyFont="1" applyFill="1" applyBorder="1" applyAlignment="1">
      <alignment horizontal="center" wrapText="1"/>
    </xf>
    <xf numFmtId="166" fontId="67" fillId="25" borderId="10" xfId="65" applyNumberFormat="1" applyFont="1" applyFill="1" applyBorder="1" applyAlignment="1">
      <alignment horizontal="center" wrapText="1"/>
    </xf>
    <xf numFmtId="0" fontId="57" fillId="25" borderId="0" xfId="65" applyFont="1" applyFill="1"/>
    <xf numFmtId="0" fontId="69" fillId="25" borderId="10" xfId="65" applyFont="1" applyFill="1" applyBorder="1" applyAlignment="1">
      <alignment horizontal="center"/>
    </xf>
    <xf numFmtId="0" fontId="69" fillId="25" borderId="10" xfId="65" applyFont="1" applyFill="1" applyBorder="1" applyAlignment="1">
      <alignment horizontal="center" wrapText="1"/>
    </xf>
    <xf numFmtId="3" fontId="58" fillId="25" borderId="10" xfId="65" applyNumberFormat="1" applyFont="1" applyFill="1" applyBorder="1" applyAlignment="1">
      <alignment horizontal="center" vertical="center"/>
    </xf>
    <xf numFmtId="169" fontId="58" fillId="25" borderId="10" xfId="65" applyNumberFormat="1" applyFont="1" applyFill="1" applyBorder="1" applyAlignment="1">
      <alignment horizontal="center" vertical="center"/>
    </xf>
    <xf numFmtId="0" fontId="78" fillId="25" borderId="10" xfId="65" applyFont="1" applyFill="1" applyBorder="1" applyAlignment="1">
      <alignment horizontal="center" vertical="center"/>
    </xf>
    <xf numFmtId="0" fontId="58" fillId="25" borderId="10" xfId="65" applyFont="1" applyFill="1" applyBorder="1" applyAlignment="1">
      <alignment horizontal="left" vertical="center" wrapText="1"/>
    </xf>
    <xf numFmtId="0" fontId="67" fillId="25" borderId="0" xfId="94" applyFont="1" applyFill="1" applyAlignment="1">
      <alignment horizontal="left" vertical="center"/>
    </xf>
    <xf numFmtId="0" fontId="58" fillId="25" borderId="0" xfId="94" applyFont="1" applyFill="1" applyAlignment="1"/>
    <xf numFmtId="0" fontId="58" fillId="25" borderId="0" xfId="96" applyFont="1" applyFill="1"/>
    <xf numFmtId="0" fontId="69" fillId="25" borderId="10" xfId="38" applyFont="1" applyFill="1" applyBorder="1" applyAlignment="1">
      <alignment vertical="center"/>
    </xf>
    <xf numFmtId="0" fontId="58" fillId="25" borderId="10" xfId="96" applyFont="1" applyFill="1" applyBorder="1" applyAlignment="1">
      <alignment horizontal="center" vertical="center" wrapText="1"/>
    </xf>
    <xf numFmtId="0" fontId="69" fillId="25" borderId="10" xfId="38" applyFont="1" applyFill="1" applyBorder="1"/>
    <xf numFmtId="0" fontId="58" fillId="25" borderId="10" xfId="96" applyFont="1" applyFill="1" applyBorder="1" applyAlignment="1">
      <alignment horizontal="center" vertical="center"/>
    </xf>
    <xf numFmtId="167" fontId="58" fillId="25" borderId="10" xfId="96" applyNumberFormat="1" applyFont="1" applyFill="1" applyBorder="1" applyAlignment="1">
      <alignment horizontal="center" vertical="center"/>
    </xf>
    <xf numFmtId="0" fontId="58" fillId="25" borderId="10" xfId="65" applyFont="1" applyFill="1" applyBorder="1"/>
    <xf numFmtId="0" fontId="67" fillId="25" borderId="10" xfId="65" applyFont="1" applyFill="1" applyBorder="1" applyAlignment="1">
      <alignment horizontal="center" vertical="center" wrapText="1"/>
    </xf>
    <xf numFmtId="167" fontId="67" fillId="25" borderId="10" xfId="65" applyNumberFormat="1" applyFont="1" applyFill="1" applyBorder="1" applyAlignment="1">
      <alignment horizontal="center" vertical="center"/>
    </xf>
    <xf numFmtId="0" fontId="66" fillId="25" borderId="12" xfId="38" applyFont="1" applyFill="1" applyBorder="1" applyAlignment="1">
      <alignment horizontal="centerContinuous" wrapText="1"/>
    </xf>
    <xf numFmtId="0" fontId="64" fillId="25" borderId="12" xfId="38" applyFont="1" applyFill="1" applyBorder="1" applyAlignment="1">
      <alignment horizontal="centerContinuous" wrapText="1"/>
    </xf>
    <xf numFmtId="0" fontId="58" fillId="25" borderId="12" xfId="38" applyFont="1" applyFill="1" applyBorder="1" applyAlignment="1">
      <alignment horizontal="centerContinuous"/>
    </xf>
    <xf numFmtId="0" fontId="83" fillId="25" borderId="0" xfId="65" applyFont="1" applyFill="1"/>
    <xf numFmtId="0" fontId="58" fillId="25" borderId="0" xfId="65" applyFont="1" applyFill="1" applyAlignment="1">
      <alignment horizontal="center" wrapText="1"/>
    </xf>
    <xf numFmtId="0" fontId="58" fillId="25" borderId="0" xfId="65" applyFont="1" applyFill="1" applyAlignment="1">
      <alignment wrapText="1"/>
    </xf>
    <xf numFmtId="0" fontId="67" fillId="25" borderId="10" xfId="38" applyFont="1" applyFill="1" applyBorder="1" applyAlignment="1">
      <alignment horizontal="center" vertical="center" wrapText="1"/>
    </xf>
    <xf numFmtId="166" fontId="67" fillId="25" borderId="10" xfId="38" applyNumberFormat="1" applyFont="1" applyFill="1" applyBorder="1" applyAlignment="1">
      <alignment horizontal="center" vertical="center" wrapText="1"/>
    </xf>
    <xf numFmtId="0" fontId="79" fillId="25" borderId="0" xfId="39" applyFont="1" applyFill="1" applyAlignment="1">
      <alignment horizontal="center" vertical="center" wrapText="1"/>
    </xf>
    <xf numFmtId="0" fontId="79" fillId="25" borderId="0" xfId="38" applyFont="1" applyFill="1"/>
    <xf numFmtId="0" fontId="67" fillId="25" borderId="10" xfId="38" applyFont="1" applyFill="1" applyBorder="1" applyAlignment="1">
      <alignment horizontal="center"/>
    </xf>
    <xf numFmtId="0" fontId="67" fillId="25" borderId="10" xfId="38" applyFont="1" applyFill="1" applyBorder="1" applyAlignment="1">
      <alignment horizontal="center" wrapText="1"/>
    </xf>
    <xf numFmtId="0" fontId="58" fillId="25" borderId="10" xfId="90" applyFont="1" applyFill="1" applyBorder="1" applyAlignment="1">
      <alignment horizontal="left" wrapText="1"/>
    </xf>
    <xf numFmtId="166" fontId="58" fillId="25" borderId="10" xfId="38" applyNumberFormat="1" applyFont="1" applyFill="1" applyBorder="1" applyAlignment="1">
      <alignment horizontal="center" wrapText="1"/>
    </xf>
    <xf numFmtId="0" fontId="58" fillId="25" borderId="10" xfId="38" applyFont="1" applyFill="1" applyBorder="1" applyAlignment="1">
      <alignment horizontal="center" wrapText="1"/>
    </xf>
    <xf numFmtId="166" fontId="79" fillId="25" borderId="0" xfId="38" applyNumberFormat="1" applyFont="1" applyFill="1"/>
    <xf numFmtId="166" fontId="58" fillId="25" borderId="10" xfId="38" applyNumberFormat="1" applyFont="1" applyFill="1" applyBorder="1" applyAlignment="1">
      <alignment horizontal="center"/>
    </xf>
    <xf numFmtId="166" fontId="57" fillId="25" borderId="10" xfId="38" applyNumberFormat="1" applyFont="1" applyFill="1" applyBorder="1"/>
    <xf numFmtId="0" fontId="71" fillId="25" borderId="0" xfId="38" applyFont="1" applyFill="1"/>
    <xf numFmtId="0" fontId="67" fillId="25" borderId="10" xfId="38" applyFont="1" applyFill="1" applyBorder="1" applyAlignment="1">
      <alignment wrapText="1"/>
    </xf>
    <xf numFmtId="166" fontId="67" fillId="25" borderId="10" xfId="38" applyNumberFormat="1" applyFont="1" applyFill="1" applyBorder="1" applyAlignment="1">
      <alignment horizontal="center"/>
    </xf>
    <xf numFmtId="1" fontId="67" fillId="25" borderId="10" xfId="38" applyNumberFormat="1" applyFont="1" applyFill="1" applyBorder="1" applyAlignment="1">
      <alignment horizontal="center"/>
    </xf>
    <xf numFmtId="166" fontId="71" fillId="25" borderId="0" xfId="38" applyNumberFormat="1" applyFont="1" applyFill="1" applyBorder="1" applyAlignment="1">
      <alignment horizontal="center"/>
    </xf>
    <xf numFmtId="166" fontId="82" fillId="25" borderId="0" xfId="38" applyNumberFormat="1" applyFont="1" applyFill="1" applyBorder="1"/>
    <xf numFmtId="0" fontId="57" fillId="25" borderId="0" xfId="38" applyFont="1" applyFill="1"/>
    <xf numFmtId="0" fontId="58" fillId="25" borderId="10" xfId="90" applyFont="1" applyFill="1" applyBorder="1" applyAlignment="1">
      <alignment horizontal="center" vertical="center" wrapText="1"/>
    </xf>
    <xf numFmtId="0" fontId="69" fillId="25" borderId="0" xfId="90" applyFont="1" applyFill="1"/>
    <xf numFmtId="0" fontId="69" fillId="25" borderId="0" xfId="90" applyFont="1" applyFill="1" applyBorder="1" applyAlignment="1">
      <alignment horizontal="center"/>
    </xf>
    <xf numFmtId="0" fontId="58" fillId="25" borderId="10" xfId="96" applyFont="1" applyFill="1" applyBorder="1" applyAlignment="1">
      <alignment horizontal="left" vertical="center"/>
    </xf>
    <xf numFmtId="0" fontId="58" fillId="25" borderId="10" xfId="90" applyFont="1" applyFill="1" applyBorder="1" applyAlignment="1">
      <alignment horizontal="center" vertical="center"/>
    </xf>
    <xf numFmtId="1" fontId="58" fillId="25" borderId="10" xfId="96" applyNumberFormat="1" applyFont="1" applyFill="1" applyBorder="1" applyAlignment="1">
      <alignment horizontal="center" vertical="center"/>
    </xf>
    <xf numFmtId="169" fontId="58" fillId="25" borderId="10" xfId="96" applyNumberFormat="1" applyFont="1" applyFill="1" applyBorder="1" applyAlignment="1">
      <alignment horizontal="center" vertical="center"/>
    </xf>
    <xf numFmtId="0" fontId="69" fillId="25" borderId="0" xfId="91" applyFont="1" applyFill="1"/>
    <xf numFmtId="0" fontId="58" fillId="25" borderId="10" xfId="96" applyFont="1" applyFill="1" applyBorder="1" applyAlignment="1">
      <alignment horizontal="center"/>
    </xf>
    <xf numFmtId="0" fontId="67" fillId="25" borderId="10" xfId="90" applyFont="1" applyFill="1" applyBorder="1" applyAlignment="1">
      <alignment horizontal="center" vertical="center"/>
    </xf>
    <xf numFmtId="169" fontId="67" fillId="25" borderId="10" xfId="96" applyNumberFormat="1" applyFont="1" applyFill="1" applyBorder="1" applyAlignment="1">
      <alignment horizontal="center" vertical="center"/>
    </xf>
    <xf numFmtId="0" fontId="58" fillId="25" borderId="0" xfId="90" applyFont="1" applyFill="1" applyBorder="1"/>
    <xf numFmtId="0" fontId="84" fillId="25" borderId="0" xfId="38" applyFont="1" applyFill="1"/>
    <xf numFmtId="0" fontId="18" fillId="25" borderId="10" xfId="0" applyFont="1" applyFill="1" applyBorder="1" applyAlignment="1">
      <alignment horizontal="center" wrapText="1"/>
    </xf>
    <xf numFmtId="0" fontId="67" fillId="0" borderId="0" xfId="0" applyFont="1" applyBorder="1"/>
    <xf numFmtId="0" fontId="58" fillId="0" borderId="0" xfId="0" applyFont="1" applyBorder="1"/>
    <xf numFmtId="1" fontId="67" fillId="0" borderId="0" xfId="0" applyNumberFormat="1" applyFont="1" applyBorder="1"/>
    <xf numFmtId="1" fontId="18" fillId="25" borderId="10" xfId="0" applyNumberFormat="1" applyFont="1" applyFill="1" applyBorder="1"/>
    <xf numFmtId="166" fontId="71" fillId="0" borderId="10" xfId="0" applyNumberFormat="1" applyFont="1" applyBorder="1" applyAlignment="1">
      <alignment horizontal="center" wrapText="1"/>
    </xf>
    <xf numFmtId="0" fontId="58" fillId="25" borderId="11" xfId="0" applyFont="1" applyFill="1" applyBorder="1" applyAlignment="1">
      <alignment horizontal="left" vertical="center"/>
    </xf>
    <xf numFmtId="0" fontId="58" fillId="0" borderId="11" xfId="0" applyFont="1" applyBorder="1" applyAlignment="1">
      <alignment horizontal="left" vertical="center"/>
    </xf>
    <xf numFmtId="0" fontId="89" fillId="25" borderId="0" xfId="65" applyFont="1" applyFill="1"/>
    <xf numFmtId="0" fontId="58" fillId="25" borderId="21" xfId="0" applyFont="1" applyFill="1" applyBorder="1" applyAlignment="1">
      <alignment vertical="center"/>
    </xf>
    <xf numFmtId="0" fontId="58" fillId="25" borderId="18" xfId="0" applyFont="1" applyFill="1" applyBorder="1"/>
    <xf numFmtId="0" fontId="58" fillId="25" borderId="10" xfId="0" applyFont="1" applyFill="1" applyBorder="1" applyAlignment="1">
      <alignment horizontal="center" wrapText="1"/>
    </xf>
    <xf numFmtId="0" fontId="58" fillId="25" borderId="10" xfId="0" applyFont="1" applyFill="1" applyBorder="1" applyAlignment="1">
      <alignment horizontal="center"/>
    </xf>
    <xf numFmtId="0" fontId="67" fillId="25" borderId="0" xfId="65" applyFont="1" applyFill="1" applyAlignment="1"/>
    <xf numFmtId="0" fontId="67" fillId="25" borderId="0" xfId="65" applyFont="1" applyFill="1" applyAlignment="1">
      <alignment wrapText="1"/>
    </xf>
    <xf numFmtId="0" fontId="66" fillId="25" borderId="10" xfId="65" applyFont="1" applyFill="1" applyBorder="1" applyAlignment="1">
      <alignment horizontal="center" vertical="center"/>
    </xf>
    <xf numFmtId="0" fontId="67" fillId="25" borderId="11" xfId="65" applyFont="1" applyFill="1" applyBorder="1" applyAlignment="1"/>
    <xf numFmtId="0" fontId="82" fillId="25" borderId="0" xfId="65" applyFont="1" applyFill="1"/>
    <xf numFmtId="0" fontId="66" fillId="25" borderId="0" xfId="65" applyFont="1" applyFill="1" applyAlignment="1">
      <alignment horizontal="left"/>
    </xf>
    <xf numFmtId="0" fontId="89" fillId="25" borderId="0" xfId="65" applyFont="1" applyFill="1" applyAlignment="1">
      <alignment horizontal="left"/>
    </xf>
    <xf numFmtId="0" fontId="99" fillId="25" borderId="0" xfId="65" applyFont="1" applyFill="1"/>
    <xf numFmtId="0" fontId="100" fillId="25" borderId="0" xfId="65" applyFont="1" applyFill="1"/>
    <xf numFmtId="0" fontId="67" fillId="25" borderId="0" xfId="65" applyFont="1" applyFill="1" applyAlignment="1">
      <alignment horizontal="left" wrapText="1"/>
    </xf>
    <xf numFmtId="0" fontId="67" fillId="25" borderId="11" xfId="65" applyFont="1" applyFill="1" applyBorder="1" applyAlignment="1">
      <alignment vertical="center" wrapText="1"/>
    </xf>
    <xf numFmtId="0" fontId="67" fillId="25" borderId="0" xfId="65" applyFont="1" applyFill="1" applyBorder="1" applyAlignment="1">
      <alignment horizontal="center"/>
    </xf>
    <xf numFmtId="166" fontId="58" fillId="25" borderId="10" xfId="65" applyNumberFormat="1" applyFont="1" applyFill="1" applyBorder="1" applyAlignment="1">
      <alignment horizontal="center"/>
    </xf>
    <xf numFmtId="0" fontId="58" fillId="25" borderId="10" xfId="65" applyFont="1" applyFill="1" applyBorder="1" applyAlignment="1"/>
    <xf numFmtId="2" fontId="58" fillId="25" borderId="0" xfId="65" applyNumberFormat="1" applyFont="1" applyFill="1" applyBorder="1" applyAlignment="1">
      <alignment horizontal="center"/>
    </xf>
    <xf numFmtId="0" fontId="58" fillId="25" borderId="0" xfId="65" applyFont="1" applyFill="1" applyBorder="1" applyAlignment="1"/>
    <xf numFmtId="0" fontId="67" fillId="25" borderId="0" xfId="65" applyFont="1" applyFill="1" applyBorder="1"/>
    <xf numFmtId="0" fontId="58" fillId="25" borderId="0" xfId="65" applyFont="1" applyFill="1" applyBorder="1"/>
    <xf numFmtId="0" fontId="58" fillId="25" borderId="0" xfId="65" applyFont="1" applyFill="1" applyBorder="1" applyAlignment="1">
      <alignment horizontal="center"/>
    </xf>
    <xf numFmtId="166" fontId="67" fillId="25" borderId="0" xfId="65" applyNumberFormat="1" applyFont="1" applyFill="1" applyBorder="1"/>
    <xf numFmtId="166" fontId="82" fillId="25" borderId="0" xfId="65" applyNumberFormat="1" applyFont="1" applyFill="1"/>
    <xf numFmtId="0" fontId="61" fillId="25" borderId="10" xfId="65" applyFont="1" applyFill="1" applyBorder="1" applyAlignment="1">
      <alignment wrapText="1"/>
    </xf>
    <xf numFmtId="0" fontId="58" fillId="0" borderId="0" xfId="65" applyFont="1" applyBorder="1" applyAlignment="1">
      <alignment vertical="center" wrapText="1"/>
    </xf>
    <xf numFmtId="0" fontId="60" fillId="24" borderId="10" xfId="65" applyFont="1" applyFill="1" applyBorder="1" applyAlignment="1">
      <alignment horizontal="center"/>
    </xf>
    <xf numFmtId="0" fontId="64" fillId="24" borderId="10" xfId="65" applyFont="1" applyFill="1" applyBorder="1" applyAlignment="1">
      <alignment horizontal="center" vertical="center" wrapText="1"/>
    </xf>
    <xf numFmtId="166" fontId="64" fillId="0" borderId="10" xfId="65" applyNumberFormat="1" applyFont="1" applyBorder="1" applyAlignment="1">
      <alignment horizontal="center" vertical="center" wrapText="1"/>
    </xf>
    <xf numFmtId="0" fontId="58" fillId="0" borderId="0" xfId="65" applyFont="1" applyBorder="1"/>
    <xf numFmtId="0" fontId="64" fillId="0" borderId="10" xfId="65" applyFont="1" applyBorder="1" applyAlignment="1">
      <alignment horizontal="center"/>
    </xf>
    <xf numFmtId="0" fontId="64" fillId="0" borderId="10" xfId="65" applyFont="1" applyBorder="1" applyAlignment="1">
      <alignment horizontal="center" wrapText="1"/>
    </xf>
    <xf numFmtId="0" fontId="57" fillId="0" borderId="10" xfId="65" applyFont="1" applyBorder="1" applyAlignment="1">
      <alignment horizontal="center"/>
    </xf>
    <xf numFmtId="166" fontId="57" fillId="0" borderId="10" xfId="65" applyNumberFormat="1" applyFont="1" applyBorder="1" applyAlignment="1">
      <alignment horizontal="center"/>
    </xf>
    <xf numFmtId="0" fontId="60" fillId="0" borderId="10" xfId="65" applyFont="1" applyBorder="1" applyAlignment="1">
      <alignment horizontal="center"/>
    </xf>
    <xf numFmtId="0" fontId="60" fillId="24" borderId="10" xfId="65" applyFont="1" applyFill="1" applyBorder="1" applyAlignment="1">
      <alignment horizontal="center" wrapText="1"/>
    </xf>
    <xf numFmtId="0" fontId="69" fillId="0" borderId="10" xfId="40" applyFont="1" applyBorder="1" applyAlignment="1">
      <alignment horizontal="center" wrapText="1"/>
    </xf>
    <xf numFmtId="0" fontId="58" fillId="0" borderId="10" xfId="91" applyFont="1" applyBorder="1" applyAlignment="1">
      <alignment horizontal="center"/>
    </xf>
    <xf numFmtId="1" fontId="58" fillId="0" borderId="10" xfId="65" applyNumberFormat="1" applyFont="1" applyBorder="1" applyAlignment="1">
      <alignment horizontal="right" wrapText="1"/>
    </xf>
    <xf numFmtId="166" fontId="58" fillId="0" borderId="10" xfId="65" applyNumberFormat="1" applyFont="1" applyBorder="1"/>
    <xf numFmtId="0" fontId="59" fillId="0" borderId="10" xfId="65" applyFont="1" applyBorder="1" applyAlignment="1">
      <alignment wrapText="1"/>
    </xf>
    <xf numFmtId="0" fontId="67" fillId="0" borderId="10" xfId="65" applyFont="1" applyBorder="1" applyAlignment="1">
      <alignment horizontal="center"/>
    </xf>
    <xf numFmtId="0" fontId="71" fillId="0" borderId="10" xfId="65" applyFont="1" applyBorder="1" applyAlignment="1">
      <alignment horizontal="center" wrapText="1"/>
    </xf>
    <xf numFmtId="166" fontId="67" fillId="0" borderId="10" xfId="65" applyNumberFormat="1" applyFont="1" applyBorder="1"/>
    <xf numFmtId="0" fontId="69" fillId="0" borderId="0" xfId="0" applyFont="1"/>
    <xf numFmtId="0" fontId="69" fillId="0" borderId="0" xfId="0" applyFont="1" applyFill="1" applyBorder="1" applyAlignment="1">
      <alignment horizontal="center"/>
    </xf>
    <xf numFmtId="0" fontId="69" fillId="0" borderId="10" xfId="96" applyFont="1" applyBorder="1" applyAlignment="1">
      <alignment horizontal="center"/>
    </xf>
    <xf numFmtId="166" fontId="58" fillId="0" borderId="10" xfId="65" applyNumberFormat="1" applyFont="1" applyFill="1" applyBorder="1" applyAlignment="1">
      <alignment horizontal="center" vertical="center"/>
    </xf>
    <xf numFmtId="0" fontId="58" fillId="0" borderId="10" xfId="65" applyFont="1" applyFill="1" applyBorder="1" applyAlignment="1">
      <alignment horizontal="center"/>
    </xf>
    <xf numFmtId="166" fontId="67" fillId="0" borderId="10" xfId="65" applyNumberFormat="1" applyFont="1" applyFill="1" applyBorder="1" applyAlignment="1">
      <alignment horizontal="center"/>
    </xf>
    <xf numFmtId="0" fontId="69" fillId="0" borderId="0" xfId="38" applyFont="1" applyBorder="1" applyAlignment="1">
      <alignment horizontal="left" wrapText="1"/>
    </xf>
    <xf numFmtId="0" fontId="67" fillId="25" borderId="0" xfId="94" applyFont="1" applyFill="1" applyAlignment="1"/>
    <xf numFmtId="0" fontId="57" fillId="25" borderId="10" xfId="65" applyFont="1" applyFill="1" applyBorder="1"/>
    <xf numFmtId="0" fontId="58" fillId="25" borderId="10" xfId="96" applyFont="1" applyFill="1" applyBorder="1" applyAlignment="1">
      <alignment horizontal="justify"/>
    </xf>
    <xf numFmtId="1" fontId="58" fillId="25" borderId="10" xfId="96" applyNumberFormat="1" applyFont="1" applyFill="1" applyBorder="1" applyAlignment="1">
      <alignment horizontal="center"/>
    </xf>
    <xf numFmtId="0" fontId="57" fillId="25" borderId="0" xfId="65" applyFont="1" applyFill="1" applyBorder="1"/>
    <xf numFmtId="0" fontId="62" fillId="0" borderId="0" xfId="38" applyFont="1" applyBorder="1" applyAlignment="1">
      <alignment wrapText="1"/>
    </xf>
    <xf numFmtId="0" fontId="69" fillId="0" borderId="0" xfId="38" applyFont="1" applyAlignment="1">
      <alignment wrapText="1"/>
    </xf>
    <xf numFmtId="0" fontId="58" fillId="0" borderId="0" xfId="38" applyFont="1" applyAlignment="1">
      <alignment horizontal="center"/>
    </xf>
    <xf numFmtId="0" fontId="77" fillId="24" borderId="0" xfId="38" applyFont="1" applyFill="1" applyBorder="1" applyAlignment="1">
      <alignment horizontal="left" wrapText="1"/>
    </xf>
    <xf numFmtId="0" fontId="66" fillId="0" borderId="12" xfId="38" applyFont="1" applyFill="1" applyBorder="1" applyAlignment="1">
      <alignment horizontal="centerContinuous" wrapText="1"/>
    </xf>
    <xf numFmtId="0" fontId="58" fillId="24" borderId="0" xfId="38" applyFont="1" applyFill="1" applyAlignment="1">
      <alignment horizontal="center"/>
    </xf>
    <xf numFmtId="0" fontId="58" fillId="24" borderId="0" xfId="38" applyFont="1" applyFill="1" applyAlignment="1">
      <alignment wrapText="1"/>
    </xf>
    <xf numFmtId="0" fontId="58" fillId="24" borderId="0" xfId="38" applyFont="1" applyFill="1" applyAlignment="1">
      <alignment horizontal="centerContinuous" wrapText="1"/>
    </xf>
    <xf numFmtId="0" fontId="67" fillId="24" borderId="0" xfId="38" applyFont="1" applyFill="1" applyAlignment="1">
      <alignment horizontal="center"/>
    </xf>
    <xf numFmtId="0" fontId="58" fillId="24" borderId="0" xfId="38" applyFont="1" applyFill="1" applyAlignment="1">
      <alignment horizontal="centerContinuous"/>
    </xf>
    <xf numFmtId="0" fontId="58" fillId="24" borderId="0" xfId="38" applyFont="1" applyFill="1" applyAlignment="1">
      <alignment horizontal="center" wrapText="1"/>
    </xf>
    <xf numFmtId="0" fontId="58" fillId="0" borderId="0" xfId="38" applyFont="1" applyAlignment="1">
      <alignment wrapText="1"/>
    </xf>
    <xf numFmtId="0" fontId="69" fillId="24" borderId="10" xfId="38" applyFont="1" applyFill="1" applyBorder="1" applyAlignment="1">
      <alignment horizontal="center"/>
    </xf>
    <xf numFmtId="0" fontId="71" fillId="24" borderId="10" xfId="38" applyFont="1" applyFill="1" applyBorder="1" applyAlignment="1">
      <alignment horizontal="center" vertical="center" wrapText="1"/>
    </xf>
    <xf numFmtId="166" fontId="71" fillId="0" borderId="10" xfId="38" applyNumberFormat="1" applyFont="1" applyBorder="1" applyAlignment="1">
      <alignment horizontal="center" vertical="center" wrapText="1"/>
    </xf>
    <xf numFmtId="0" fontId="60" fillId="0" borderId="0" xfId="0" applyFont="1"/>
    <xf numFmtId="0" fontId="79" fillId="0" borderId="0" xfId="38" applyFont="1"/>
    <xf numFmtId="0" fontId="71" fillId="0" borderId="10" xfId="38" applyFont="1" applyBorder="1" applyAlignment="1">
      <alignment horizontal="center"/>
    </xf>
    <xf numFmtId="0" fontId="71" fillId="0" borderId="10" xfId="38" applyFont="1" applyBorder="1" applyAlignment="1">
      <alignment horizontal="center" wrapText="1"/>
    </xf>
    <xf numFmtId="166" fontId="79" fillId="0" borderId="10" xfId="38" applyNumberFormat="1" applyFont="1" applyBorder="1" applyAlignment="1">
      <alignment horizontal="center"/>
    </xf>
    <xf numFmtId="0" fontId="69" fillId="0" borderId="10" xfId="38" applyFont="1" applyBorder="1" applyAlignment="1">
      <alignment horizontal="center"/>
    </xf>
    <xf numFmtId="0" fontId="69" fillId="0" borderId="10" xfId="38" applyFont="1" applyBorder="1" applyAlignment="1">
      <alignment horizontal="left" wrapText="1"/>
    </xf>
    <xf numFmtId="0" fontId="69" fillId="24" borderId="10" xfId="38" applyFont="1" applyFill="1" applyBorder="1" applyAlignment="1">
      <alignment horizontal="center" wrapText="1"/>
    </xf>
    <xf numFmtId="1" fontId="69" fillId="0" borderId="10" xfId="38" applyNumberFormat="1" applyFont="1" applyBorder="1" applyAlignment="1">
      <alignment horizontal="center" wrapText="1"/>
    </xf>
    <xf numFmtId="0" fontId="71" fillId="0" borderId="10" xfId="38" applyFont="1" applyBorder="1" applyAlignment="1">
      <alignment wrapText="1"/>
    </xf>
    <xf numFmtId="166" fontId="71" fillId="0" borderId="10" xfId="38" applyNumberFormat="1" applyFont="1" applyBorder="1" applyAlignment="1">
      <alignment horizontal="center"/>
    </xf>
    <xf numFmtId="0" fontId="71" fillId="0" borderId="0" xfId="38" applyFont="1"/>
    <xf numFmtId="166" fontId="71" fillId="0" borderId="0" xfId="38" applyNumberFormat="1" applyFont="1" applyBorder="1" applyAlignment="1">
      <alignment horizontal="center"/>
    </xf>
    <xf numFmtId="166" fontId="82" fillId="0" borderId="0" xfId="38" applyNumberFormat="1" applyFont="1" applyBorder="1"/>
    <xf numFmtId="0" fontId="57" fillId="0" borderId="0" xfId="38" applyFont="1"/>
    <xf numFmtId="0" fontId="66" fillId="0" borderId="0" xfId="38" applyFont="1" applyFill="1" applyBorder="1" applyAlignment="1">
      <alignment horizontal="centerContinuous" wrapText="1"/>
    </xf>
    <xf numFmtId="0" fontId="67" fillId="0" borderId="0" xfId="94" applyFont="1" applyAlignment="1">
      <alignment horizontal="center" vertical="center"/>
    </xf>
    <xf numFmtId="0" fontId="69" fillId="0" borderId="10" xfId="0" applyFont="1" applyBorder="1" applyAlignment="1">
      <alignment horizontal="center"/>
    </xf>
    <xf numFmtId="1" fontId="69" fillId="0" borderId="10" xfId="96" applyNumberFormat="1" applyFont="1" applyBorder="1" applyAlignment="1">
      <alignment horizontal="center"/>
    </xf>
    <xf numFmtId="166" fontId="69" fillId="0" borderId="10" xfId="96" applyNumberFormat="1" applyFont="1" applyBorder="1" applyAlignment="1">
      <alignment horizontal="right"/>
    </xf>
    <xf numFmtId="0" fontId="69" fillId="0" borderId="0" xfId="91" applyFont="1"/>
    <xf numFmtId="0" fontId="58" fillId="0" borderId="10" xfId="96" applyFont="1" applyBorder="1" applyAlignment="1">
      <alignment horizontal="right"/>
    </xf>
    <xf numFmtId="0" fontId="67" fillId="0" borderId="11" xfId="65" applyFont="1" applyFill="1" applyBorder="1" applyAlignment="1"/>
    <xf numFmtId="0" fontId="58" fillId="0" borderId="10" xfId="91" applyFont="1" applyBorder="1" applyAlignment="1">
      <alignment horizontal="right"/>
    </xf>
    <xf numFmtId="1" fontId="58" fillId="0" borderId="10" xfId="96" applyNumberFormat="1" applyFont="1" applyBorder="1" applyAlignment="1"/>
    <xf numFmtId="166" fontId="71" fillId="0" borderId="13" xfId="96" applyNumberFormat="1" applyFont="1" applyBorder="1" applyAlignment="1">
      <alignment horizontal="right"/>
    </xf>
    <xf numFmtId="0" fontId="69" fillId="0" borderId="0" xfId="91" applyFont="1" applyAlignment="1">
      <alignment horizontal="right"/>
    </xf>
    <xf numFmtId="0" fontId="57" fillId="25" borderId="10" xfId="65" applyFont="1" applyFill="1" applyBorder="1" applyAlignment="1">
      <alignment wrapText="1"/>
    </xf>
    <xf numFmtId="41" fontId="58" fillId="25" borderId="10" xfId="65" applyNumberFormat="1" applyFont="1" applyFill="1" applyBorder="1" applyAlignment="1">
      <alignment horizontal="left"/>
    </xf>
    <xf numFmtId="166" fontId="67" fillId="25" borderId="10" xfId="65" applyNumberFormat="1" applyFont="1" applyFill="1" applyBorder="1" applyAlignment="1">
      <alignment horizontal="right" wrapText="1"/>
    </xf>
    <xf numFmtId="0" fontId="67" fillId="25" borderId="10" xfId="65" applyFont="1" applyFill="1" applyBorder="1" applyAlignment="1">
      <alignment horizontal="center"/>
    </xf>
    <xf numFmtId="169" fontId="58" fillId="0" borderId="10" xfId="65" applyNumberFormat="1" applyFont="1" applyFill="1" applyBorder="1" applyAlignment="1">
      <alignment horizontal="center" wrapText="1"/>
    </xf>
    <xf numFmtId="169" fontId="58" fillId="0" borderId="10" xfId="65" applyNumberFormat="1" applyFont="1" applyFill="1" applyBorder="1" applyAlignment="1">
      <alignment horizontal="center" vertical="center" wrapText="1"/>
    </xf>
    <xf numFmtId="169" fontId="58" fillId="0" borderId="10" xfId="65" applyNumberFormat="1" applyFont="1" applyFill="1" applyBorder="1" applyAlignment="1">
      <alignment horizontal="center" vertical="center"/>
    </xf>
    <xf numFmtId="0" fontId="69" fillId="0" borderId="10" xfId="0" applyFont="1" applyFill="1" applyBorder="1" applyAlignment="1">
      <alignment horizontal="center" wrapText="1"/>
    </xf>
    <xf numFmtId="169" fontId="58" fillId="0" borderId="10" xfId="40" applyNumberFormat="1" applyFont="1" applyFill="1" applyBorder="1" applyAlignment="1">
      <alignment horizontal="center"/>
    </xf>
    <xf numFmtId="169" fontId="58" fillId="0" borderId="10" xfId="40" applyNumberFormat="1" applyFont="1" applyFill="1" applyBorder="1" applyAlignment="1">
      <alignment horizontal="center" wrapText="1"/>
    </xf>
    <xf numFmtId="0" fontId="58" fillId="24" borderId="10" xfId="39" applyFont="1" applyFill="1" applyBorder="1" applyAlignment="1">
      <alignment horizontal="center"/>
    </xf>
    <xf numFmtId="0" fontId="67" fillId="0" borderId="10" xfId="39" applyFont="1" applyBorder="1" applyAlignment="1">
      <alignment horizontal="center"/>
    </xf>
    <xf numFmtId="0" fontId="67" fillId="0" borderId="10" xfId="39" applyFont="1" applyBorder="1" applyAlignment="1">
      <alignment horizontal="center" wrapText="1"/>
    </xf>
    <xf numFmtId="166" fontId="58" fillId="0" borderId="10" xfId="39" applyNumberFormat="1" applyFont="1" applyBorder="1" applyAlignment="1">
      <alignment horizontal="center"/>
    </xf>
    <xf numFmtId="0" fontId="58" fillId="0" borderId="10" xfId="39" applyFont="1" applyBorder="1" applyAlignment="1">
      <alignment horizontal="center"/>
    </xf>
    <xf numFmtId="0" fontId="58" fillId="0" borderId="10" xfId="39" applyFont="1" applyBorder="1" applyAlignment="1">
      <alignment horizontal="left" wrapText="1"/>
    </xf>
    <xf numFmtId="0" fontId="58" fillId="0" borderId="10" xfId="39" applyFont="1" applyBorder="1" applyAlignment="1">
      <alignment horizontal="center" wrapText="1"/>
    </xf>
    <xf numFmtId="0" fontId="67" fillId="0" borderId="10" xfId="39" applyFont="1" applyBorder="1" applyAlignment="1">
      <alignment wrapText="1"/>
    </xf>
    <xf numFmtId="169" fontId="67" fillId="0" borderId="10" xfId="39" applyNumberFormat="1" applyFont="1" applyBorder="1" applyAlignment="1">
      <alignment horizontal="center"/>
    </xf>
    <xf numFmtId="1" fontId="67" fillId="0" borderId="10" xfId="39" applyNumberFormat="1" applyFont="1" applyBorder="1" applyAlignment="1">
      <alignment horizontal="center" wrapText="1"/>
    </xf>
    <xf numFmtId="166" fontId="101" fillId="0" borderId="0" xfId="39" applyNumberFormat="1" applyFont="1" applyBorder="1" applyAlignment="1">
      <alignment horizontal="center"/>
    </xf>
    <xf numFmtId="0" fontId="58" fillId="24" borderId="0" xfId="39" applyFont="1" applyFill="1" applyAlignment="1">
      <alignment wrapText="1"/>
    </xf>
    <xf numFmtId="0" fontId="67" fillId="24" borderId="0" xfId="39" applyFont="1" applyFill="1" applyBorder="1" applyAlignment="1">
      <alignment horizontal="centerContinuous" wrapText="1"/>
    </xf>
    <xf numFmtId="166" fontId="67" fillId="24" borderId="10" xfId="39" applyNumberFormat="1" applyFont="1" applyFill="1" applyBorder="1" applyAlignment="1">
      <alignment horizontal="center" vertical="center" wrapText="1"/>
    </xf>
    <xf numFmtId="0" fontId="67" fillId="24" borderId="10" xfId="39" applyFont="1" applyFill="1" applyBorder="1" applyAlignment="1">
      <alignment horizontal="center"/>
    </xf>
    <xf numFmtId="0" fontId="67" fillId="24" borderId="10" xfId="39" applyFont="1" applyFill="1" applyBorder="1" applyAlignment="1">
      <alignment horizontal="center" wrapText="1"/>
    </xf>
    <xf numFmtId="166" fontId="58" fillId="24" borderId="10" xfId="39" applyNumberFormat="1" applyFont="1" applyFill="1" applyBorder="1" applyAlignment="1">
      <alignment horizontal="center"/>
    </xf>
    <xf numFmtId="0" fontId="58" fillId="24" borderId="10" xfId="39" applyFont="1" applyFill="1" applyBorder="1" applyAlignment="1">
      <alignment horizontal="left" wrapText="1"/>
    </xf>
    <xf numFmtId="166" fontId="58" fillId="0" borderId="10" xfId="39" applyNumberFormat="1" applyFont="1" applyFill="1" applyBorder="1" applyAlignment="1">
      <alignment horizontal="center" wrapText="1"/>
    </xf>
    <xf numFmtId="0" fontId="58" fillId="0" borderId="10" xfId="39" applyFont="1" applyFill="1" applyBorder="1" applyAlignment="1">
      <alignment horizontal="center" wrapText="1"/>
    </xf>
    <xf numFmtId="0" fontId="67" fillId="24" borderId="10" xfId="39" applyFont="1" applyFill="1" applyBorder="1" applyAlignment="1">
      <alignment wrapText="1"/>
    </xf>
    <xf numFmtId="166" fontId="67" fillId="0" borderId="10" xfId="39" applyNumberFormat="1" applyFont="1" applyFill="1" applyBorder="1" applyAlignment="1">
      <alignment horizontal="center"/>
    </xf>
    <xf numFmtId="1" fontId="67" fillId="0" borderId="10" xfId="39" applyNumberFormat="1" applyFont="1" applyFill="1" applyBorder="1" applyAlignment="1">
      <alignment horizontal="center" wrapText="1"/>
    </xf>
    <xf numFmtId="0" fontId="67" fillId="0" borderId="10" xfId="39" applyFont="1" applyFill="1" applyBorder="1" applyAlignment="1">
      <alignment horizontal="center" wrapText="1"/>
    </xf>
    <xf numFmtId="0" fontId="57" fillId="0" borderId="0" xfId="65" applyFont="1" applyFill="1"/>
    <xf numFmtId="0" fontId="58" fillId="0" borderId="10" xfId="90" applyFont="1" applyBorder="1" applyAlignment="1">
      <alignment horizontal="left" wrapText="1"/>
    </xf>
    <xf numFmtId="169" fontId="58" fillId="0" borderId="10" xfId="90" applyNumberFormat="1" applyFont="1" applyFill="1" applyBorder="1" applyAlignment="1">
      <alignment horizontal="center" wrapText="1"/>
    </xf>
    <xf numFmtId="0" fontId="58" fillId="0" borderId="10" xfId="90" applyFont="1" applyBorder="1" applyAlignment="1">
      <alignment horizontal="center" wrapText="1"/>
    </xf>
    <xf numFmtId="166" fontId="67" fillId="0" borderId="0" xfId="39" applyNumberFormat="1" applyFont="1" applyBorder="1" applyAlignment="1">
      <alignment horizontal="center"/>
    </xf>
    <xf numFmtId="169" fontId="67" fillId="25" borderId="10" xfId="65" applyNumberFormat="1" applyFont="1" applyFill="1" applyBorder="1" applyAlignment="1">
      <alignment horizontal="center" vertical="center"/>
    </xf>
    <xf numFmtId="169" fontId="67" fillId="0" borderId="10" xfId="65" applyNumberFormat="1" applyFont="1" applyBorder="1" applyAlignment="1">
      <alignment horizontal="center" vertical="center"/>
    </xf>
    <xf numFmtId="169" fontId="58" fillId="25" borderId="10" xfId="65" applyNumberFormat="1" applyFont="1" applyFill="1" applyBorder="1"/>
    <xf numFmtId="169" fontId="67" fillId="25" borderId="10" xfId="65" applyNumberFormat="1" applyFont="1" applyFill="1" applyBorder="1"/>
    <xf numFmtId="0" fontId="66" fillId="25" borderId="0" xfId="65" applyFont="1" applyFill="1"/>
    <xf numFmtId="0" fontId="58" fillId="25" borderId="10" xfId="65" applyFont="1" applyFill="1" applyBorder="1" applyAlignment="1">
      <alignment horizontal="center" vertical="center"/>
    </xf>
    <xf numFmtId="0" fontId="58" fillId="25" borderId="10" xfId="65" applyFont="1" applyFill="1" applyBorder="1" applyAlignment="1">
      <alignment horizontal="center"/>
    </xf>
    <xf numFmtId="0" fontId="58" fillId="25" borderId="10" xfId="65" applyFont="1" applyFill="1" applyBorder="1" applyAlignment="1">
      <alignment horizontal="center" wrapText="1"/>
    </xf>
    <xf numFmtId="0" fontId="58" fillId="25" borderId="0" xfId="0" applyFont="1" applyFill="1"/>
    <xf numFmtId="0" fontId="89" fillId="25" borderId="0" xfId="65" applyFont="1" applyFill="1"/>
    <xf numFmtId="0" fontId="58" fillId="0" borderId="11" xfId="0" applyFont="1" applyBorder="1" applyAlignment="1">
      <alignment horizontal="left" vertical="center"/>
    </xf>
    <xf numFmtId="0" fontId="91" fillId="25" borderId="10" xfId="0" applyNumberFormat="1" applyFont="1" applyFill="1" applyBorder="1" applyAlignment="1">
      <alignment horizontal="center" vertical="center" wrapText="1"/>
    </xf>
    <xf numFmtId="0" fontId="60" fillId="25" borderId="10" xfId="0" applyFont="1" applyFill="1" applyBorder="1" applyAlignment="1">
      <alignment horizontal="center"/>
    </xf>
    <xf numFmtId="0" fontId="60" fillId="25" borderId="10" xfId="0" applyFont="1" applyFill="1" applyBorder="1" applyAlignment="1">
      <alignment horizontal="center" vertical="center"/>
    </xf>
    <xf numFmtId="0" fontId="68" fillId="25" borderId="10" xfId="0" applyFont="1" applyFill="1" applyBorder="1" applyAlignment="1">
      <alignment wrapText="1"/>
    </xf>
    <xf numFmtId="166" fontId="67" fillId="25" borderId="10" xfId="0" applyNumberFormat="1" applyFont="1" applyFill="1" applyBorder="1" applyAlignment="1">
      <alignment horizontal="center" wrapText="1"/>
    </xf>
    <xf numFmtId="0" fontId="69" fillId="25" borderId="10" xfId="0" applyFont="1" applyFill="1" applyBorder="1"/>
    <xf numFmtId="168" fontId="58" fillId="25" borderId="10" xfId="0" applyNumberFormat="1" applyFont="1" applyFill="1" applyBorder="1" applyAlignment="1">
      <alignment horizontal="center"/>
    </xf>
    <xf numFmtId="1" fontId="58" fillId="25" borderId="10" xfId="0" applyNumberFormat="1" applyFont="1" applyFill="1" applyBorder="1" applyAlignment="1">
      <alignment horizontal="center"/>
    </xf>
    <xf numFmtId="169" fontId="67" fillId="25" borderId="10" xfId="38" applyNumberFormat="1" applyFont="1" applyFill="1" applyBorder="1" applyAlignment="1">
      <alignment horizontal="center"/>
    </xf>
    <xf numFmtId="169" fontId="58" fillId="0" borderId="10" xfId="39" applyNumberFormat="1" applyFont="1" applyBorder="1" applyAlignment="1">
      <alignment horizontal="center" vertical="center"/>
    </xf>
    <xf numFmtId="169" fontId="69" fillId="0" borderId="10" xfId="39" applyNumberFormat="1" applyFont="1" applyBorder="1"/>
    <xf numFmtId="169" fontId="71" fillId="0" borderId="10" xfId="39" applyNumberFormat="1" applyFont="1" applyBorder="1" applyAlignment="1">
      <alignment horizontal="center"/>
    </xf>
    <xf numFmtId="169" fontId="58" fillId="0" borderId="10" xfId="40" applyNumberFormat="1" applyFont="1" applyBorder="1" applyAlignment="1">
      <alignment horizontal="center"/>
    </xf>
    <xf numFmtId="169" fontId="58" fillId="0" borderId="10" xfId="40" applyNumberFormat="1" applyFont="1" applyBorder="1"/>
    <xf numFmtId="169" fontId="58" fillId="0" borderId="10" xfId="39" applyNumberFormat="1" applyFont="1" applyBorder="1" applyAlignment="1">
      <alignment horizontal="center"/>
    </xf>
    <xf numFmtId="169" fontId="58" fillId="0" borderId="10" xfId="39" applyNumberFormat="1" applyFont="1" applyFill="1" applyBorder="1" applyAlignment="1">
      <alignment horizontal="center"/>
    </xf>
    <xf numFmtId="169" fontId="67" fillId="0" borderId="10" xfId="39" applyNumberFormat="1" applyFont="1" applyFill="1" applyBorder="1" applyAlignment="1">
      <alignment horizontal="center"/>
    </xf>
    <xf numFmtId="169" fontId="57" fillId="0" borderId="10" xfId="40" applyNumberFormat="1" applyFont="1" applyBorder="1" applyAlignment="1">
      <alignment horizontal="center"/>
    </xf>
    <xf numFmtId="0" fontId="67" fillId="0" borderId="0" xfId="65" applyFont="1" applyBorder="1" applyAlignment="1">
      <alignment vertical="center" wrapText="1"/>
    </xf>
    <xf numFmtId="0" fontId="69" fillId="25" borderId="10" xfId="65" applyFont="1" applyFill="1" applyBorder="1" applyAlignment="1">
      <alignment horizontal="center" vertical="center"/>
    </xf>
    <xf numFmtId="0" fontId="58" fillId="25" borderId="0" xfId="38" applyFont="1" applyFill="1" applyAlignment="1">
      <alignment horizontal="center" vertical="center"/>
    </xf>
    <xf numFmtId="0" fontId="61" fillId="25" borderId="0" xfId="65" applyFont="1" applyFill="1" applyAlignment="1">
      <alignment horizontal="center" vertical="center"/>
    </xf>
    <xf numFmtId="0" fontId="66" fillId="25" borderId="0" xfId="65" applyFont="1" applyFill="1" applyBorder="1" applyAlignment="1">
      <alignment horizontal="center" vertical="center"/>
    </xf>
    <xf numFmtId="0" fontId="58" fillId="25" borderId="0" xfId="65" applyFont="1" applyFill="1" applyAlignment="1">
      <alignment horizontal="center" vertical="center"/>
    </xf>
    <xf numFmtId="0" fontId="69" fillId="25" borderId="10" xfId="38" applyFont="1" applyFill="1" applyBorder="1" applyAlignment="1">
      <alignment horizontal="center" vertical="center"/>
    </xf>
    <xf numFmtId="0" fontId="81" fillId="25" borderId="0" xfId="0" applyFont="1" applyFill="1" applyAlignment="1">
      <alignment horizontal="center" vertical="center"/>
    </xf>
    <xf numFmtId="0" fontId="58" fillId="29" borderId="10" xfId="0" applyFont="1" applyFill="1" applyBorder="1"/>
    <xf numFmtId="0" fontId="67" fillId="29" borderId="10" xfId="0" applyFont="1" applyFill="1" applyBorder="1"/>
    <xf numFmtId="0" fontId="58" fillId="29" borderId="13" xfId="0" applyFont="1" applyFill="1" applyBorder="1"/>
    <xf numFmtId="0" fontId="61" fillId="25" borderId="0" xfId="0" applyFont="1" applyFill="1" applyAlignment="1">
      <alignment horizontal="center" wrapText="1"/>
    </xf>
    <xf numFmtId="0" fontId="59" fillId="25" borderId="0" xfId="0" applyFont="1" applyFill="1" applyAlignment="1">
      <alignment horizontal="center"/>
    </xf>
    <xf numFmtId="0" fontId="82" fillId="25" borderId="0" xfId="65" applyNumberFormat="1" applyFont="1" applyFill="1" applyBorder="1" applyAlignment="1">
      <alignment horizontal="center" vertical="center" wrapText="1"/>
    </xf>
    <xf numFmtId="0" fontId="58" fillId="25" borderId="11" xfId="0" applyFont="1" applyFill="1" applyBorder="1" applyAlignment="1">
      <alignment horizontal="left" vertical="center" wrapText="1"/>
    </xf>
    <xf numFmtId="0" fontId="58" fillId="25" borderId="18" xfId="0" applyFont="1" applyFill="1" applyBorder="1" applyAlignment="1">
      <alignment horizontal="left" vertical="center" wrapText="1"/>
    </xf>
    <xf numFmtId="0" fontId="58" fillId="25" borderId="13" xfId="0" applyFont="1" applyFill="1" applyBorder="1" applyAlignment="1">
      <alignment horizontal="left" vertical="center" wrapText="1"/>
    </xf>
    <xf numFmtId="0" fontId="58" fillId="25" borderId="11" xfId="0" applyFont="1" applyFill="1" applyBorder="1" applyAlignment="1">
      <alignment horizontal="left" vertical="center"/>
    </xf>
    <xf numFmtId="0" fontId="58" fillId="25" borderId="18" xfId="0" applyFont="1" applyFill="1" applyBorder="1" applyAlignment="1">
      <alignment horizontal="left" vertical="center"/>
    </xf>
    <xf numFmtId="0" fontId="58" fillId="25" borderId="13" xfId="0" applyFont="1" applyFill="1" applyBorder="1" applyAlignment="1">
      <alignment horizontal="left" vertical="center"/>
    </xf>
    <xf numFmtId="0" fontId="67" fillId="25" borderId="0" xfId="65" applyFont="1" applyFill="1" applyBorder="1" applyAlignment="1">
      <alignment horizontal="center" vertical="center" wrapText="1"/>
    </xf>
    <xf numFmtId="0" fontId="66" fillId="25" borderId="0" xfId="38" applyFont="1" applyFill="1" applyBorder="1" applyAlignment="1">
      <alignment horizontal="left"/>
    </xf>
    <xf numFmtId="0" fontId="67" fillId="25" borderId="11" xfId="0" applyFont="1" applyFill="1" applyBorder="1" applyAlignment="1">
      <alignment horizontal="center" vertical="center"/>
    </xf>
    <xf numFmtId="0" fontId="67" fillId="25" borderId="13" xfId="0" applyFont="1" applyFill="1" applyBorder="1" applyAlignment="1">
      <alignment horizontal="center" vertical="center"/>
    </xf>
    <xf numFmtId="0" fontId="67" fillId="0" borderId="0" xfId="94" applyFont="1" applyAlignment="1">
      <alignment horizontal="center"/>
    </xf>
    <xf numFmtId="0" fontId="58" fillId="0" borderId="0" xfId="65" applyFont="1" applyBorder="1" applyAlignment="1">
      <alignment horizontal="center" vertical="center" wrapText="1"/>
    </xf>
    <xf numFmtId="0" fontId="67" fillId="25" borderId="28" xfId="65" applyFont="1" applyFill="1" applyBorder="1" applyAlignment="1">
      <alignment horizontal="center" vertical="center" wrapText="1"/>
    </xf>
    <xf numFmtId="0" fontId="64" fillId="24" borderId="0" xfId="38" applyFont="1" applyFill="1" applyBorder="1" applyAlignment="1">
      <alignment horizontal="center" wrapText="1"/>
    </xf>
    <xf numFmtId="0" fontId="67" fillId="0" borderId="0" xfId="94" applyFont="1" applyAlignment="1">
      <alignment horizontal="center" vertical="center"/>
    </xf>
    <xf numFmtId="0" fontId="32" fillId="0" borderId="17" xfId="65" applyFont="1" applyBorder="1" applyAlignment="1">
      <alignment horizontal="center" wrapText="1"/>
    </xf>
    <xf numFmtId="0" fontId="24" fillId="0" borderId="11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67" fillId="25" borderId="29" xfId="65" applyFont="1" applyFill="1" applyBorder="1" applyAlignment="1">
      <alignment horizontal="center" vertical="center" wrapText="1"/>
    </xf>
    <xf numFmtId="0" fontId="66" fillId="0" borderId="12" xfId="38" applyFont="1" applyFill="1" applyBorder="1" applyAlignment="1">
      <alignment horizontal="center" wrapText="1"/>
    </xf>
    <xf numFmtId="0" fontId="67" fillId="0" borderId="11" xfId="0" applyFont="1" applyBorder="1" applyAlignment="1">
      <alignment horizontal="center" vertical="center"/>
    </xf>
    <xf numFmtId="0" fontId="67" fillId="0" borderId="13" xfId="0" applyFont="1" applyBorder="1" applyAlignment="1">
      <alignment horizontal="center" vertical="center"/>
    </xf>
    <xf numFmtId="0" fontId="58" fillId="0" borderId="11" xfId="0" applyFont="1" applyBorder="1" applyAlignment="1">
      <alignment horizontal="left" vertical="center"/>
    </xf>
    <xf numFmtId="0" fontId="58" fillId="0" borderId="13" xfId="0" applyFont="1" applyBorder="1" applyAlignment="1">
      <alignment horizontal="left" vertical="center"/>
    </xf>
    <xf numFmtId="0" fontId="58" fillId="0" borderId="11" xfId="0" applyFont="1" applyBorder="1" applyAlignment="1">
      <alignment horizontal="left" vertical="center" wrapText="1"/>
    </xf>
    <xf numFmtId="0" fontId="58" fillId="0" borderId="13" xfId="0" applyFont="1" applyBorder="1" applyAlignment="1">
      <alignment horizontal="left" vertical="center" wrapText="1"/>
    </xf>
    <xf numFmtId="0" fontId="67" fillId="0" borderId="29" xfId="65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0" fontId="59" fillId="0" borderId="0" xfId="67" applyFont="1" applyAlignment="1">
      <alignment horizontal="center"/>
    </xf>
    <xf numFmtId="0" fontId="61" fillId="0" borderId="0" xfId="67" applyFont="1" applyAlignment="1">
      <alignment horizontal="center" wrapText="1"/>
    </xf>
    <xf numFmtId="0" fontId="67" fillId="0" borderId="0" xfId="65" applyFont="1" applyBorder="1" applyAlignment="1">
      <alignment horizontal="center" vertical="center" wrapText="1"/>
    </xf>
    <xf numFmtId="0" fontId="16" fillId="25" borderId="11" xfId="0" applyFont="1" applyFill="1" applyBorder="1" applyAlignment="1">
      <alignment horizontal="left" vertical="center"/>
    </xf>
    <xf numFmtId="0" fontId="16" fillId="25" borderId="18" xfId="0" applyFont="1" applyFill="1" applyBorder="1" applyAlignment="1">
      <alignment horizontal="left" vertical="center"/>
    </xf>
    <xf numFmtId="0" fontId="16" fillId="25" borderId="13" xfId="0" applyFont="1" applyFill="1" applyBorder="1" applyAlignment="1">
      <alignment horizontal="left" vertical="center"/>
    </xf>
  </cellXfs>
  <cellStyles count="10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2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" xfId="0" builtinId="0"/>
    <cellStyle name="Normal 2" xfId="38"/>
    <cellStyle name="Normal 2 2" xfId="39"/>
    <cellStyle name="Normal 2 2 2" xfId="40"/>
    <cellStyle name="Normal 2 2 3" xfId="41"/>
    <cellStyle name="Normal 2 3" xfId="42"/>
    <cellStyle name="Normal 2 4" xfId="43"/>
    <cellStyle name="Normal 3" xfId="44"/>
    <cellStyle name="Normal 3 2" xfId="45"/>
    <cellStyle name="Normal 3 2 2" xfId="46"/>
    <cellStyle name="Normal 3 3" xfId="47"/>
    <cellStyle name="Normal 3 4" xfId="48"/>
    <cellStyle name="Normal 4" xfId="49"/>
    <cellStyle name="Normal 4 2" xfId="50"/>
    <cellStyle name="Normal 4 2 2" xfId="51"/>
    <cellStyle name="Normal 4 3" xfId="52"/>
    <cellStyle name="Normal 5" xfId="53"/>
    <cellStyle name="Normal 6" xfId="54"/>
    <cellStyle name="Normal_Sheet1 2" xfId="55"/>
    <cellStyle name="Note" xfId="56"/>
    <cellStyle name="Output" xfId="57"/>
    <cellStyle name="Percent 2" xfId="58"/>
    <cellStyle name="Style 1" xfId="59"/>
    <cellStyle name="Title" xfId="60"/>
    <cellStyle name="Total" xfId="61"/>
    <cellStyle name="Warning Text" xfId="62"/>
    <cellStyle name="Гиперссылка_Bls-2-06NN" xfId="63"/>
    <cellStyle name="Денежный 2" xfId="64"/>
    <cellStyle name="Обычный 11" xfId="106"/>
    <cellStyle name="Обычный 2" xfId="65"/>
    <cellStyle name="Обычный 2 2" xfId="66"/>
    <cellStyle name="Обычный 2 2 2" xfId="67"/>
    <cellStyle name="Обычный 2 2 2 2" xfId="68"/>
    <cellStyle name="Обычный 2 2 2 2 2" xfId="69"/>
    <cellStyle name="Обычный 2 2 2 3" xfId="70"/>
    <cellStyle name="Обычный 2 2 2 3 2" xfId="71"/>
    <cellStyle name="Обычный 2 2 3" xfId="72"/>
    <cellStyle name="Обычный 2 2 3 2" xfId="73"/>
    <cellStyle name="Обычный 2 3" xfId="74"/>
    <cellStyle name="Обычный 2 4" xfId="75"/>
    <cellStyle name="Обычный 2 4 2" xfId="76"/>
    <cellStyle name="Обычный 22" xfId="104"/>
    <cellStyle name="Обычный 23" xfId="105"/>
    <cellStyle name="Обычный 3" xfId="77"/>
    <cellStyle name="Обычный 3 2" xfId="78"/>
    <cellStyle name="Обычный 3 2 2" xfId="79"/>
    <cellStyle name="Обычный 4" xfId="80"/>
    <cellStyle name="Обычный 4 2" xfId="81"/>
    <cellStyle name="Обычный 4 2 2" xfId="82"/>
    <cellStyle name="Обычный 4 2 3" xfId="83"/>
    <cellStyle name="Обычный 5" xfId="84"/>
    <cellStyle name="Обычный 5 2" xfId="85"/>
    <cellStyle name="Обычный 6" xfId="86"/>
    <cellStyle name="Обычный 7" xfId="87"/>
    <cellStyle name="Обычный 7 2" xfId="88"/>
    <cellStyle name="Обычный 8" xfId="89"/>
    <cellStyle name="Обычный 9" xfId="90"/>
    <cellStyle name="Обычный_9.Mal.Hayt(2)" xfId="91"/>
    <cellStyle name="Обычный_9.Mal.Hayt(2) 2" xfId="92"/>
    <cellStyle name="Обычный_9.Mal.Hayt(2)_kentron-popoxvac" xfId="93"/>
    <cellStyle name="Обычный_Malatia-guyq" xfId="94"/>
    <cellStyle name="Обычный_Malatia-guyq 2" xfId="95"/>
    <cellStyle name="Обычный_Книга1" xfId="96"/>
    <cellStyle name="Обычный_Книга1 2 2" xfId="97"/>
    <cellStyle name="Открывавшаяся гиперссылка_Bls-2-06NN" xfId="98"/>
    <cellStyle name="Процентный 2" xfId="99"/>
    <cellStyle name="Стиль 1" xfId="100"/>
    <cellStyle name="Стиль 1 2" xfId="101"/>
    <cellStyle name="Финансовый 2" xfId="102"/>
    <cellStyle name="Финансовый 2 2" xfId="103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</xdr:row>
      <xdr:rowOff>0</xdr:rowOff>
    </xdr:from>
    <xdr:to>
      <xdr:col>3</xdr:col>
      <xdr:colOff>548283</xdr:colOff>
      <xdr:row>19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876550" y="5124450"/>
          <a:ext cx="552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6</xdr:col>
      <xdr:colOff>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590925" y="5124450"/>
          <a:ext cx="15621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548283</xdr:colOff>
      <xdr:row>19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876550" y="5124450"/>
          <a:ext cx="552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6</xdr:col>
      <xdr:colOff>0</xdr:colOff>
      <xdr:row>19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590925" y="5124450"/>
          <a:ext cx="15621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548283</xdr:colOff>
      <xdr:row>19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2876550" y="5124450"/>
          <a:ext cx="552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6</xdr:col>
      <xdr:colOff>0</xdr:colOff>
      <xdr:row>19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590925" y="5124450"/>
          <a:ext cx="15621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548283</xdr:colOff>
      <xdr:row>19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876550" y="5124450"/>
          <a:ext cx="552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6</xdr:col>
      <xdr:colOff>0</xdr:colOff>
      <xdr:row>19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590925" y="5124450"/>
          <a:ext cx="15621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548283</xdr:colOff>
      <xdr:row>19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2876550" y="5124450"/>
          <a:ext cx="552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6</xdr:col>
      <xdr:colOff>0</xdr:colOff>
      <xdr:row>19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3590925" y="5124450"/>
          <a:ext cx="15621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553944</xdr:colOff>
      <xdr:row>7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3533775" y="2114550"/>
          <a:ext cx="552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6</xdr:col>
      <xdr:colOff>0</xdr:colOff>
      <xdr:row>7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4419600" y="2114550"/>
          <a:ext cx="1685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553944</xdr:colOff>
      <xdr:row>7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3533775" y="2114550"/>
          <a:ext cx="552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6</xdr:col>
      <xdr:colOff>0</xdr:colOff>
      <xdr:row>7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4419600" y="2114550"/>
          <a:ext cx="1685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553944</xdr:colOff>
      <xdr:row>7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3533775" y="2114550"/>
          <a:ext cx="552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6</xdr:col>
      <xdr:colOff>0</xdr:colOff>
      <xdr:row>7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4419600" y="2114550"/>
          <a:ext cx="1685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553944</xdr:colOff>
      <xdr:row>7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3533775" y="2114550"/>
          <a:ext cx="552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6</xdr:col>
      <xdr:colOff>0</xdr:colOff>
      <xdr:row>7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4419600" y="2114550"/>
          <a:ext cx="1685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553944</xdr:colOff>
      <xdr:row>7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3533775" y="2114550"/>
          <a:ext cx="552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553944</xdr:colOff>
      <xdr:row>7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2171700" y="2114550"/>
          <a:ext cx="552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3533775" y="2114550"/>
          <a:ext cx="17811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553944</xdr:colOff>
      <xdr:row>7</xdr:row>
      <xdr:rowOff>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 bwMode="auto">
        <a:xfrm>
          <a:off x="2171700" y="2114550"/>
          <a:ext cx="552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3533775" y="2114550"/>
          <a:ext cx="17811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553944</xdr:colOff>
      <xdr:row>7</xdr:row>
      <xdr:rowOff>0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 bwMode="auto">
        <a:xfrm>
          <a:off x="2171700" y="2114550"/>
          <a:ext cx="552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 bwMode="auto">
        <a:xfrm>
          <a:off x="3533775" y="2114550"/>
          <a:ext cx="17811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553944</xdr:colOff>
      <xdr:row>7</xdr:row>
      <xdr:rowOff>0</xdr:rowOff>
    </xdr:to>
    <xdr:sp macro="" textlink="">
      <xdr:nvSpPr>
        <xdr:cNvPr id="18" name="Text Box 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 bwMode="auto">
        <a:xfrm>
          <a:off x="2171700" y="2114550"/>
          <a:ext cx="552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3533775" y="2114550"/>
          <a:ext cx="17811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553944</xdr:colOff>
      <xdr:row>7</xdr:row>
      <xdr:rowOff>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2171700" y="2114550"/>
          <a:ext cx="552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3533775" y="2114550"/>
          <a:ext cx="17811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2971800" y="8372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>
          <a:spLocks noChangeArrowheads="1"/>
        </xdr:cNvSpPr>
      </xdr:nvSpPr>
      <xdr:spPr bwMode="auto">
        <a:xfrm>
          <a:off x="2971800" y="8372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>
          <a:spLocks noChangeArrowheads="1"/>
        </xdr:cNvSpPr>
      </xdr:nvSpPr>
      <xdr:spPr bwMode="auto">
        <a:xfrm>
          <a:off x="2971800" y="8372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 txBox="1">
          <a:spLocks noChangeArrowheads="1"/>
        </xdr:cNvSpPr>
      </xdr:nvSpPr>
      <xdr:spPr bwMode="auto">
        <a:xfrm>
          <a:off x="2971800" y="8372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 txBox="1">
          <a:spLocks noChangeArrowheads="1"/>
        </xdr:cNvSpPr>
      </xdr:nvSpPr>
      <xdr:spPr bwMode="auto">
        <a:xfrm>
          <a:off x="2971800" y="8372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49\Welcome\&#1052;&#1086;&#1080;%20&#1076;&#1086;&#1082;&#1091;&#1084;&#1077;&#1085;&#1090;&#1099;\Dat-03\Balance-Form-03\My%20Documents\200%20X\Ex-2003\Date\New\Bal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49\Welcome\Documents%20and%20Settings\Marianna\&#1056;&#1072;&#1073;&#1086;&#1095;&#1080;&#1081;%20&#1089;&#1090;&#1086;&#1083;\2011%20Byuje\Bjuje%202011\Dataranner\&#1052;&#1086;&#1080;%20&#1076;&#1086;&#1082;&#1091;&#1084;&#1077;&#1085;&#1090;&#1099;\Dat-03\Balance-Form-03\My%20Documents\200%20X\Ex-2003\Date\New\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49\Welcome\Documents%20and%20Settings\&#1040;&#1076;&#1084;&#1080;&#1085;&#1080;&#1089;&#1090;&#1088;&#1072;&#1090;&#1086;&#1088;\Application%20Data\Microsoft\Excel\&#1052;&#1086;&#1080;%20&#1076;&#1086;&#1082;&#1091;&#1084;&#1077;&#1085;&#1090;&#1099;\Dat-03\Balance-Form-03\My%20Documents\200%20X\Ex-2003\Date\New\Balan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49\Welcome\Documents%20and%20Settings\Lusine\Application%20Data\Microsoft\Excel\&#1052;&#1086;&#1080;%20&#1076;&#1086;&#1082;&#1091;&#1084;&#1077;&#1085;&#1090;&#1099;\Dat-03\Balance-Form-03\My%20Documents\200%20X\Ex-2003\Date\New\Bala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-1"/>
      <sheetName val="Bl-2"/>
      <sheetName val="Bl-21"/>
      <sheetName val="Bl-4"/>
      <sheetName val="Bl-3"/>
      <sheetName val="Bl-532"/>
      <sheetName val="Bl-5322"/>
      <sheetName val="Bl-533"/>
      <sheetName val="Bl-535"/>
      <sheetName val="AUDIT"/>
    </sheetNames>
    <sheetDataSet>
      <sheetData sheetId="0">
        <row r="1">
          <cell r="E1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-1"/>
      <sheetName val="Bl-2"/>
      <sheetName val="Bl-21"/>
      <sheetName val="Bl-4"/>
      <sheetName val="Bl-3"/>
      <sheetName val="Bl-532"/>
      <sheetName val="Bl-5322"/>
      <sheetName val="Bl-533"/>
      <sheetName val="Bl-535"/>
      <sheetName val="AUDIT"/>
    </sheetNames>
    <sheetDataSet>
      <sheetData sheetId="0">
        <row r="1">
          <cell r="E1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-1"/>
      <sheetName val="Bl-2"/>
      <sheetName val="Bl-21"/>
      <sheetName val="Bl-4"/>
      <sheetName val="Bl-3"/>
      <sheetName val="Bl-532"/>
      <sheetName val="Bl-5322"/>
      <sheetName val="Bl-533"/>
      <sheetName val="Bl-535"/>
      <sheetName val="AUDIT"/>
    </sheetNames>
    <sheetDataSet>
      <sheetData sheetId="0">
        <row r="1">
          <cell r="E1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-1"/>
      <sheetName val="Bl-2"/>
      <sheetName val="Bl-21"/>
      <sheetName val="Bl-4"/>
      <sheetName val="Bl-3"/>
      <sheetName val="Bl-532"/>
      <sheetName val="Bl-5322"/>
      <sheetName val="Bl-533"/>
      <sheetName val="Bl-535"/>
      <sheetName val="AUDIT"/>
    </sheetNames>
    <sheetDataSet>
      <sheetData sheetId="0">
        <row r="1">
          <cell r="E1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L39"/>
  <sheetViews>
    <sheetView topLeftCell="A6" zoomScaleNormal="100" workbookViewId="0">
      <pane xSplit="3" ySplit="6" topLeftCell="D12" activePane="bottomRight" state="frozen"/>
      <selection activeCell="A6" sqref="A6"/>
      <selection pane="topRight" activeCell="C6" sqref="C6"/>
      <selection pane="bottomLeft" activeCell="A12" sqref="A12"/>
      <selection pane="bottomRight" activeCell="J13" sqref="J13"/>
    </sheetView>
  </sheetViews>
  <sheetFormatPr defaultColWidth="3.7109375" defaultRowHeight="16.5"/>
  <cols>
    <col min="1" max="1" width="3.7109375" style="486"/>
    <col min="2" max="2" width="3.7109375" style="504" hidden="1" customWidth="1"/>
    <col min="3" max="3" width="38.42578125" style="505" hidden="1" customWidth="1"/>
    <col min="4" max="4" width="18" style="486" hidden="1" customWidth="1"/>
    <col min="5" max="5" width="20.5703125" style="486" hidden="1" customWidth="1"/>
    <col min="6" max="6" width="14.7109375" style="486" hidden="1" customWidth="1"/>
    <col min="7" max="7" width="3.7109375" style="486" hidden="1" customWidth="1"/>
    <col min="8" max="8" width="3.7109375" style="497"/>
    <col min="9" max="9" width="38.42578125" style="494" bestFit="1" customWidth="1"/>
    <col min="10" max="10" width="11.140625" style="486" bestFit="1" customWidth="1"/>
    <col min="11" max="11" width="19.42578125" style="486" bestFit="1" customWidth="1"/>
    <col min="12" max="12" width="13.140625" style="486" bestFit="1" customWidth="1"/>
    <col min="13" max="15" width="3.7109375" style="486"/>
    <col min="16" max="16" width="15.7109375" style="486" bestFit="1" customWidth="1"/>
    <col min="17" max="16384" width="3.7109375" style="486"/>
  </cols>
  <sheetData>
    <row r="1" spans="1:12" s="483" customFormat="1" ht="17.25">
      <c r="B1" s="479"/>
      <c r="C1" s="480"/>
      <c r="D1" s="480"/>
      <c r="E1" s="481"/>
      <c r="F1" s="482"/>
      <c r="H1" s="479"/>
      <c r="I1" s="480"/>
      <c r="J1" s="480"/>
      <c r="K1" s="481"/>
      <c r="L1" s="482"/>
    </row>
    <row r="2" spans="1:12" s="483" customFormat="1" ht="16.5" customHeight="1">
      <c r="B2" s="479"/>
      <c r="C2" s="484"/>
      <c r="D2" s="485"/>
      <c r="E2" s="485"/>
      <c r="F2" s="481"/>
      <c r="G2" s="486"/>
      <c r="H2" s="479"/>
      <c r="I2" s="484"/>
      <c r="J2" s="485"/>
      <c r="K2" s="485"/>
      <c r="L2" s="481"/>
    </row>
    <row r="3" spans="1:12" s="483" customFormat="1" ht="18" thickBot="1">
      <c r="B3" s="487"/>
      <c r="C3" s="488" t="s">
        <v>226</v>
      </c>
      <c r="D3" s="489"/>
      <c r="E3" s="490"/>
      <c r="F3" s="490"/>
      <c r="G3" s="486"/>
      <c r="H3" s="487"/>
      <c r="I3" s="488" t="s">
        <v>226</v>
      </c>
      <c r="J3" s="489"/>
      <c r="K3" s="490"/>
      <c r="L3" s="490"/>
    </row>
    <row r="4" spans="1:12" s="491" customFormat="1">
      <c r="A4" s="775"/>
      <c r="B4" s="487"/>
      <c r="G4" s="486"/>
      <c r="H4" s="487"/>
    </row>
    <row r="5" spans="1:12" s="492" customFormat="1">
      <c r="B5" s="808" t="s">
        <v>44</v>
      </c>
      <c r="C5" s="808"/>
      <c r="D5" s="808"/>
      <c r="E5" s="808"/>
      <c r="F5" s="808"/>
      <c r="G5" s="486"/>
      <c r="H5" s="808" t="s">
        <v>44</v>
      </c>
      <c r="I5" s="808"/>
      <c r="J5" s="808"/>
      <c r="K5" s="808"/>
      <c r="L5" s="808"/>
    </row>
    <row r="6" spans="1:12" s="492" customFormat="1" ht="33.75" customHeight="1">
      <c r="B6" s="807" t="s">
        <v>270</v>
      </c>
      <c r="C6" s="807"/>
      <c r="D6" s="807"/>
      <c r="E6" s="807"/>
      <c r="F6" s="807"/>
      <c r="G6" s="486"/>
      <c r="H6" s="807" t="s">
        <v>270</v>
      </c>
      <c r="I6" s="807"/>
      <c r="J6" s="807"/>
      <c r="K6" s="807"/>
      <c r="L6" s="807"/>
    </row>
    <row r="7" spans="1:12" s="492" customFormat="1">
      <c r="B7" s="493"/>
      <c r="C7" s="493"/>
      <c r="D7" s="493"/>
      <c r="E7" s="493"/>
      <c r="F7" s="493"/>
      <c r="G7" s="486"/>
      <c r="H7" s="493"/>
      <c r="I7" s="493"/>
      <c r="J7" s="493"/>
      <c r="K7" s="493"/>
      <c r="L7" s="493"/>
    </row>
    <row r="8" spans="1:12" s="497" customFormat="1">
      <c r="B8" s="494"/>
      <c r="C8" s="491"/>
      <c r="D8" s="495"/>
      <c r="E8" s="496"/>
      <c r="F8" s="496" t="s">
        <v>45</v>
      </c>
      <c r="G8" s="486"/>
      <c r="H8" s="494"/>
      <c r="I8" s="491"/>
      <c r="J8" s="495"/>
      <c r="K8" s="496"/>
      <c r="L8" s="496" t="s">
        <v>45</v>
      </c>
    </row>
    <row r="9" spans="1:12" s="498" customFormat="1" ht="72" customHeight="1">
      <c r="B9" s="778" t="s">
        <v>63</v>
      </c>
      <c r="C9" s="778" t="s">
        <v>76</v>
      </c>
      <c r="D9" s="778" t="s">
        <v>74</v>
      </c>
      <c r="E9" s="778" t="s">
        <v>73</v>
      </c>
      <c r="F9" s="778" t="s">
        <v>75</v>
      </c>
      <c r="G9" s="486"/>
      <c r="H9" s="778" t="s">
        <v>63</v>
      </c>
      <c r="I9" s="778" t="s">
        <v>76</v>
      </c>
      <c r="J9" s="778" t="s">
        <v>74</v>
      </c>
      <c r="K9" s="778" t="s">
        <v>73</v>
      </c>
      <c r="L9" s="778" t="s">
        <v>75</v>
      </c>
    </row>
    <row r="10" spans="1:12" s="498" customFormat="1">
      <c r="B10" s="779">
        <v>1</v>
      </c>
      <c r="C10" s="780">
        <f>B10+1</f>
        <v>2</v>
      </c>
      <c r="D10" s="780">
        <f>C10+1</f>
        <v>3</v>
      </c>
      <c r="E10" s="780">
        <f>D10+1</f>
        <v>4</v>
      </c>
      <c r="F10" s="780">
        <v>5</v>
      </c>
      <c r="G10" s="486"/>
      <c r="H10" s="779">
        <v>1</v>
      </c>
      <c r="I10" s="780">
        <f>H10+1</f>
        <v>2</v>
      </c>
      <c r="J10" s="780">
        <f>I10+1</f>
        <v>3</v>
      </c>
      <c r="K10" s="780">
        <f>J10+1</f>
        <v>4</v>
      </c>
      <c r="L10" s="780">
        <v>5</v>
      </c>
    </row>
    <row r="11" spans="1:12" s="498" customFormat="1" ht="20.25" customHeight="1">
      <c r="B11" s="632"/>
      <c r="C11" s="781" t="s">
        <v>64</v>
      </c>
      <c r="D11" s="782">
        <f>SUM(D13:D32)</f>
        <v>30574.467146160001</v>
      </c>
      <c r="E11" s="782">
        <f>SUM(E13:E32)</f>
        <v>5740.0800000000008</v>
      </c>
      <c r="F11" s="782">
        <f>SUM(F13:F32)</f>
        <v>36314.547146160003</v>
      </c>
      <c r="G11" s="486"/>
      <c r="H11" s="632"/>
      <c r="I11" s="781" t="s">
        <v>64</v>
      </c>
      <c r="J11" s="782">
        <f>SUM(J13:J32)</f>
        <v>30574.5</v>
      </c>
      <c r="K11" s="782">
        <f>SUM(K13:K32)</f>
        <v>5740.1</v>
      </c>
      <c r="L11" s="782">
        <f>SUM(L13:L32)</f>
        <v>36314.6</v>
      </c>
    </row>
    <row r="12" spans="1:12" s="498" customFormat="1" ht="13.5" customHeight="1">
      <c r="B12" s="632"/>
      <c r="C12" s="783" t="s">
        <v>65</v>
      </c>
      <c r="D12" s="784"/>
      <c r="E12" s="785"/>
      <c r="F12" s="785"/>
      <c r="G12" s="486"/>
      <c r="H12" s="632"/>
      <c r="I12" s="783" t="s">
        <v>65</v>
      </c>
      <c r="J12" s="784"/>
      <c r="K12" s="785"/>
      <c r="L12" s="785"/>
    </row>
    <row r="13" spans="1:12" s="500" customFormat="1">
      <c r="B13" s="632">
        <v>1</v>
      </c>
      <c r="C13" s="499" t="s">
        <v>225</v>
      </c>
      <c r="D13" s="415">
        <f>+BDX!I9+Kargadrich!I9+vchrabek!I9+v.qr!I8+aragac!H9+ararat!H11+armavir!H9+gexarquniq!H12+lori!H11+kotayq!H11+shirak!H9+Syuniq!H9+tavush!H11+snankutyan!I7+Ver.Hakakorupcion!I7+'Yerevan qax'!I9+'Yerevan qr'!I10</f>
        <v>30574.467146160001</v>
      </c>
      <c r="E13" s="415">
        <f>+BDX!H25+vchrabek!G23+v.qax!G17+v.qr!G30+varchakan!G22+aragac!H22+ararat!H25+armavir!H21+gexarquniq!H27+lori!H26+kotayq!H26+shirak!H22+Syuniq!H22+tavush!H27+snankutyan!G19+Ver.Hakakorupcion!G19+'Yerevan qax'!G24+'Yerevan qr'!G27</f>
        <v>5740.0800000000008</v>
      </c>
      <c r="F13" s="415">
        <f>D13+E13</f>
        <v>36314.547146160003</v>
      </c>
      <c r="H13" s="632">
        <v>1</v>
      </c>
      <c r="I13" s="499" t="s">
        <v>225</v>
      </c>
      <c r="J13" s="415">
        <f>+ROUND(D13,1)</f>
        <v>30574.5</v>
      </c>
      <c r="K13" s="415">
        <f>+ROUND(E13,1)</f>
        <v>5740.1</v>
      </c>
      <c r="L13" s="415">
        <f>J13+K13</f>
        <v>36314.6</v>
      </c>
    </row>
    <row r="14" spans="1:12" s="500" customFormat="1">
      <c r="B14" s="632">
        <v>2</v>
      </c>
      <c r="C14" s="499" t="s">
        <v>53</v>
      </c>
      <c r="D14" s="415"/>
      <c r="E14" s="415"/>
      <c r="F14" s="415">
        <f>D14+E14</f>
        <v>0</v>
      </c>
      <c r="H14" s="632">
        <v>2</v>
      </c>
      <c r="I14" s="499" t="s">
        <v>53</v>
      </c>
      <c r="J14" s="415">
        <f t="shared" ref="J14:J32" si="0">+ROUND(D14,1)</f>
        <v>0</v>
      </c>
      <c r="K14" s="415">
        <f t="shared" ref="K14:K32" si="1">+ROUND(E14,1)</f>
        <v>0</v>
      </c>
      <c r="L14" s="415">
        <f>J14+K14</f>
        <v>0</v>
      </c>
    </row>
    <row r="15" spans="1:12" s="500" customFormat="1">
      <c r="B15" s="632">
        <v>3</v>
      </c>
      <c r="C15" s="499" t="s">
        <v>47</v>
      </c>
      <c r="D15" s="415"/>
      <c r="E15" s="415"/>
      <c r="F15" s="415">
        <f t="shared" ref="F15:F29" si="2">D15+E15</f>
        <v>0</v>
      </c>
      <c r="H15" s="632">
        <v>3</v>
      </c>
      <c r="I15" s="499" t="s">
        <v>47</v>
      </c>
      <c r="J15" s="415">
        <f t="shared" si="0"/>
        <v>0</v>
      </c>
      <c r="K15" s="415">
        <f t="shared" si="1"/>
        <v>0</v>
      </c>
      <c r="L15" s="415">
        <f t="shared" ref="L15:L28" si="3">J15+K15</f>
        <v>0</v>
      </c>
    </row>
    <row r="16" spans="1:12" s="500" customFormat="1">
      <c r="B16" s="632">
        <v>4</v>
      </c>
      <c r="C16" s="499" t="s">
        <v>48</v>
      </c>
      <c r="D16" s="415"/>
      <c r="E16" s="415"/>
      <c r="F16" s="415">
        <f t="shared" si="2"/>
        <v>0</v>
      </c>
      <c r="H16" s="632">
        <v>4</v>
      </c>
      <c r="I16" s="499" t="s">
        <v>48</v>
      </c>
      <c r="J16" s="415">
        <f t="shared" si="0"/>
        <v>0</v>
      </c>
      <c r="K16" s="415">
        <f t="shared" si="1"/>
        <v>0</v>
      </c>
      <c r="L16" s="415">
        <f t="shared" si="3"/>
        <v>0</v>
      </c>
    </row>
    <row r="17" spans="2:12" s="500" customFormat="1">
      <c r="B17" s="632">
        <v>5</v>
      </c>
      <c r="C17" s="499" t="s">
        <v>49</v>
      </c>
      <c r="D17" s="415"/>
      <c r="E17" s="415"/>
      <c r="F17" s="415">
        <f t="shared" si="2"/>
        <v>0</v>
      </c>
      <c r="H17" s="632">
        <v>5</v>
      </c>
      <c r="I17" s="499" t="s">
        <v>49</v>
      </c>
      <c r="J17" s="415">
        <f t="shared" si="0"/>
        <v>0</v>
      </c>
      <c r="K17" s="415">
        <f t="shared" si="1"/>
        <v>0</v>
      </c>
      <c r="L17" s="415">
        <f t="shared" si="3"/>
        <v>0</v>
      </c>
    </row>
    <row r="18" spans="2:12" s="500" customFormat="1">
      <c r="B18" s="632">
        <v>6</v>
      </c>
      <c r="C18" s="499" t="s">
        <v>252</v>
      </c>
      <c r="D18" s="415"/>
      <c r="E18" s="415"/>
      <c r="F18" s="415">
        <f t="shared" si="2"/>
        <v>0</v>
      </c>
      <c r="H18" s="632">
        <v>6</v>
      </c>
      <c r="I18" s="499" t="s">
        <v>252</v>
      </c>
      <c r="J18" s="415">
        <f t="shared" si="0"/>
        <v>0</v>
      </c>
      <c r="K18" s="415">
        <f t="shared" si="1"/>
        <v>0</v>
      </c>
      <c r="L18" s="415">
        <f t="shared" si="3"/>
        <v>0</v>
      </c>
    </row>
    <row r="19" spans="2:12" s="500" customFormat="1">
      <c r="B19" s="632">
        <v>7</v>
      </c>
      <c r="C19" s="499" t="s">
        <v>51</v>
      </c>
      <c r="D19" s="415"/>
      <c r="E19" s="415"/>
      <c r="F19" s="415">
        <f t="shared" si="2"/>
        <v>0</v>
      </c>
      <c r="H19" s="632">
        <v>7</v>
      </c>
      <c r="I19" s="499" t="s">
        <v>51</v>
      </c>
      <c r="J19" s="415">
        <f t="shared" si="0"/>
        <v>0</v>
      </c>
      <c r="K19" s="415">
        <f t="shared" si="1"/>
        <v>0</v>
      </c>
      <c r="L19" s="415">
        <f t="shared" si="3"/>
        <v>0</v>
      </c>
    </row>
    <row r="20" spans="2:12" s="500" customFormat="1" ht="27">
      <c r="B20" s="632">
        <v>8</v>
      </c>
      <c r="C20" s="499" t="s">
        <v>257</v>
      </c>
      <c r="D20" s="415"/>
      <c r="E20" s="415"/>
      <c r="F20" s="415">
        <f t="shared" si="2"/>
        <v>0</v>
      </c>
      <c r="H20" s="632">
        <v>8</v>
      </c>
      <c r="I20" s="499" t="s">
        <v>257</v>
      </c>
      <c r="J20" s="415">
        <f t="shared" si="0"/>
        <v>0</v>
      </c>
      <c r="K20" s="415">
        <f t="shared" si="1"/>
        <v>0</v>
      </c>
      <c r="L20" s="415">
        <f t="shared" si="3"/>
        <v>0</v>
      </c>
    </row>
    <row r="21" spans="2:12" s="500" customFormat="1" ht="40.5">
      <c r="B21" s="632">
        <v>9</v>
      </c>
      <c r="C21" s="499" t="s">
        <v>258</v>
      </c>
      <c r="D21" s="415"/>
      <c r="E21" s="415"/>
      <c r="F21" s="415">
        <f t="shared" si="2"/>
        <v>0</v>
      </c>
      <c r="H21" s="632">
        <v>9</v>
      </c>
      <c r="I21" s="499" t="s">
        <v>258</v>
      </c>
      <c r="J21" s="415">
        <f t="shared" si="0"/>
        <v>0</v>
      </c>
      <c r="K21" s="415">
        <f t="shared" si="1"/>
        <v>0</v>
      </c>
      <c r="L21" s="415">
        <f t="shared" si="3"/>
        <v>0</v>
      </c>
    </row>
    <row r="22" spans="2:12" s="500" customFormat="1" ht="27">
      <c r="B22" s="632">
        <v>10</v>
      </c>
      <c r="C22" s="499" t="s">
        <v>259</v>
      </c>
      <c r="D22" s="415"/>
      <c r="E22" s="415"/>
      <c r="F22" s="415">
        <f t="shared" si="2"/>
        <v>0</v>
      </c>
      <c r="H22" s="632">
        <v>10</v>
      </c>
      <c r="I22" s="499" t="s">
        <v>259</v>
      </c>
      <c r="J22" s="415">
        <f t="shared" si="0"/>
        <v>0</v>
      </c>
      <c r="K22" s="415">
        <f t="shared" si="1"/>
        <v>0</v>
      </c>
      <c r="L22" s="415">
        <f t="shared" si="3"/>
        <v>0</v>
      </c>
    </row>
    <row r="23" spans="2:12" s="500" customFormat="1" ht="27">
      <c r="B23" s="632">
        <v>11</v>
      </c>
      <c r="C23" s="499" t="s">
        <v>260</v>
      </c>
      <c r="D23" s="415"/>
      <c r="E23" s="415"/>
      <c r="F23" s="415">
        <f t="shared" si="2"/>
        <v>0</v>
      </c>
      <c r="H23" s="632">
        <v>11</v>
      </c>
      <c r="I23" s="499" t="s">
        <v>260</v>
      </c>
      <c r="J23" s="415">
        <f t="shared" si="0"/>
        <v>0</v>
      </c>
      <c r="K23" s="415">
        <f t="shared" si="1"/>
        <v>0</v>
      </c>
      <c r="L23" s="415">
        <f t="shared" si="3"/>
        <v>0</v>
      </c>
    </row>
    <row r="24" spans="2:12" s="500" customFormat="1" ht="27">
      <c r="B24" s="632">
        <v>12</v>
      </c>
      <c r="C24" s="499" t="s">
        <v>261</v>
      </c>
      <c r="D24" s="415"/>
      <c r="E24" s="415"/>
      <c r="F24" s="415">
        <f t="shared" si="2"/>
        <v>0</v>
      </c>
      <c r="H24" s="632">
        <v>12</v>
      </c>
      <c r="I24" s="499" t="s">
        <v>261</v>
      </c>
      <c r="J24" s="415">
        <f t="shared" si="0"/>
        <v>0</v>
      </c>
      <c r="K24" s="415">
        <f t="shared" si="1"/>
        <v>0</v>
      </c>
      <c r="L24" s="415">
        <f t="shared" si="3"/>
        <v>0</v>
      </c>
    </row>
    <row r="25" spans="2:12" s="502" customFormat="1" ht="27">
      <c r="B25" s="632">
        <v>13</v>
      </c>
      <c r="C25" s="499" t="s">
        <v>262</v>
      </c>
      <c r="D25" s="415"/>
      <c r="E25" s="415"/>
      <c r="F25" s="415">
        <f t="shared" si="2"/>
        <v>0</v>
      </c>
      <c r="G25" s="500"/>
      <c r="H25" s="632">
        <v>13</v>
      </c>
      <c r="I25" s="499" t="s">
        <v>262</v>
      </c>
      <c r="J25" s="415">
        <f t="shared" si="0"/>
        <v>0</v>
      </c>
      <c r="K25" s="415">
        <f t="shared" si="1"/>
        <v>0</v>
      </c>
      <c r="L25" s="415">
        <f t="shared" si="3"/>
        <v>0</v>
      </c>
    </row>
    <row r="26" spans="2:12" s="503" customFormat="1" ht="27">
      <c r="B26" s="632">
        <v>14</v>
      </c>
      <c r="C26" s="499" t="s">
        <v>263</v>
      </c>
      <c r="D26" s="415"/>
      <c r="E26" s="415"/>
      <c r="F26" s="415">
        <f t="shared" si="2"/>
        <v>0</v>
      </c>
      <c r="G26" s="500"/>
      <c r="H26" s="632">
        <v>14</v>
      </c>
      <c r="I26" s="499" t="s">
        <v>263</v>
      </c>
      <c r="J26" s="415">
        <f t="shared" si="0"/>
        <v>0</v>
      </c>
      <c r="K26" s="415">
        <f t="shared" si="1"/>
        <v>0</v>
      </c>
      <c r="L26" s="415">
        <f t="shared" si="3"/>
        <v>0</v>
      </c>
    </row>
    <row r="27" spans="2:12" s="503" customFormat="1" ht="27">
      <c r="B27" s="632">
        <v>15</v>
      </c>
      <c r="C27" s="499" t="s">
        <v>264</v>
      </c>
      <c r="D27" s="415"/>
      <c r="E27" s="415"/>
      <c r="F27" s="415">
        <f t="shared" si="2"/>
        <v>0</v>
      </c>
      <c r="G27" s="500"/>
      <c r="H27" s="632">
        <v>15</v>
      </c>
      <c r="I27" s="499" t="s">
        <v>264</v>
      </c>
      <c r="J27" s="415">
        <f t="shared" si="0"/>
        <v>0</v>
      </c>
      <c r="K27" s="415">
        <f t="shared" si="1"/>
        <v>0</v>
      </c>
      <c r="L27" s="415">
        <f t="shared" si="3"/>
        <v>0</v>
      </c>
    </row>
    <row r="28" spans="2:12" s="503" customFormat="1" ht="27">
      <c r="B28" s="632">
        <v>16</v>
      </c>
      <c r="C28" s="499" t="s">
        <v>265</v>
      </c>
      <c r="D28" s="415"/>
      <c r="E28" s="415"/>
      <c r="F28" s="415">
        <f t="shared" si="2"/>
        <v>0</v>
      </c>
      <c r="G28" s="500"/>
      <c r="H28" s="632">
        <v>16</v>
      </c>
      <c r="I28" s="499" t="s">
        <v>265</v>
      </c>
      <c r="J28" s="415">
        <f t="shared" si="0"/>
        <v>0</v>
      </c>
      <c r="K28" s="415">
        <f t="shared" si="1"/>
        <v>0</v>
      </c>
      <c r="L28" s="415">
        <f t="shared" si="3"/>
        <v>0</v>
      </c>
    </row>
    <row r="29" spans="2:12">
      <c r="B29" s="632">
        <v>17</v>
      </c>
      <c r="C29" s="499" t="s">
        <v>224</v>
      </c>
      <c r="D29" s="415"/>
      <c r="E29" s="415"/>
      <c r="F29" s="415">
        <f t="shared" si="2"/>
        <v>0</v>
      </c>
      <c r="H29" s="632">
        <v>17</v>
      </c>
      <c r="I29" s="499" t="s">
        <v>224</v>
      </c>
      <c r="J29" s="415">
        <f t="shared" si="0"/>
        <v>0</v>
      </c>
      <c r="K29" s="415">
        <f t="shared" si="1"/>
        <v>0</v>
      </c>
      <c r="L29" s="415">
        <f>J29+K29</f>
        <v>0</v>
      </c>
    </row>
    <row r="30" spans="2:12">
      <c r="B30" s="632">
        <v>18</v>
      </c>
      <c r="C30" s="499" t="s">
        <v>253</v>
      </c>
      <c r="D30" s="415"/>
      <c r="E30" s="415"/>
      <c r="F30" s="415">
        <f t="shared" ref="F30" si="4">D30+E30</f>
        <v>0</v>
      </c>
      <c r="H30" s="632">
        <v>18</v>
      </c>
      <c r="I30" s="499" t="s">
        <v>253</v>
      </c>
      <c r="J30" s="415">
        <f t="shared" si="0"/>
        <v>0</v>
      </c>
      <c r="K30" s="415">
        <f t="shared" si="1"/>
        <v>0</v>
      </c>
      <c r="L30" s="415">
        <f>J30+K30</f>
        <v>0</v>
      </c>
    </row>
    <row r="31" spans="2:12" s="500" customFormat="1" ht="40.5">
      <c r="B31" s="632">
        <v>19</v>
      </c>
      <c r="C31" s="501" t="s">
        <v>255</v>
      </c>
      <c r="D31" s="415"/>
      <c r="E31" s="415"/>
      <c r="F31" s="415">
        <f>D31+E31</f>
        <v>0</v>
      </c>
      <c r="H31" s="632">
        <v>19</v>
      </c>
      <c r="I31" s="501" t="s">
        <v>255</v>
      </c>
      <c r="J31" s="415">
        <f t="shared" si="0"/>
        <v>0</v>
      </c>
      <c r="K31" s="415">
        <f t="shared" si="1"/>
        <v>0</v>
      </c>
      <c r="L31" s="415">
        <f>J31+K31</f>
        <v>0</v>
      </c>
    </row>
    <row r="32" spans="2:12" s="500" customFormat="1" ht="40.5">
      <c r="B32" s="632">
        <v>20</v>
      </c>
      <c r="C32" s="501" t="s">
        <v>266</v>
      </c>
      <c r="D32" s="415"/>
      <c r="E32" s="415"/>
      <c r="F32" s="415">
        <f>D32+E32</f>
        <v>0</v>
      </c>
      <c r="H32" s="632">
        <v>20</v>
      </c>
      <c r="I32" s="501" t="s">
        <v>266</v>
      </c>
      <c r="J32" s="415">
        <f t="shared" si="0"/>
        <v>0</v>
      </c>
      <c r="K32" s="415">
        <f t="shared" si="1"/>
        <v>0</v>
      </c>
      <c r="L32" s="415">
        <f>J32+K32</f>
        <v>0</v>
      </c>
    </row>
    <row r="33" spans="8:9">
      <c r="H33" s="498"/>
      <c r="I33" s="486"/>
    </row>
    <row r="34" spans="8:9">
      <c r="H34" s="498"/>
      <c r="I34" s="486"/>
    </row>
    <row r="35" spans="8:9">
      <c r="H35" s="498"/>
      <c r="I35" s="486"/>
    </row>
    <row r="36" spans="8:9">
      <c r="H36" s="498"/>
      <c r="I36" s="486"/>
    </row>
    <row r="37" spans="8:9">
      <c r="H37" s="498"/>
      <c r="I37" s="486"/>
    </row>
    <row r="38" spans="8:9">
      <c r="H38" s="498"/>
      <c r="I38" s="486"/>
    </row>
    <row r="39" spans="8:9">
      <c r="H39" s="498"/>
      <c r="I39" s="486"/>
    </row>
  </sheetData>
  <mergeCells count="4">
    <mergeCell ref="B6:F6"/>
    <mergeCell ref="B5:F5"/>
    <mergeCell ref="H5:L5"/>
    <mergeCell ref="H6:L6"/>
  </mergeCells>
  <conditionalFormatting sqref="C8 B9:C9 C9:F12 B13:C14 H14:I14 C32:C65532 C15:C28 B15:B32 I15:I28 H16 H18 H20 H22 H24 H26 H28 H30 H32:I32">
    <cfRule type="cellIs" dxfId="6" priority="23" stopIfTrue="1" operator="equal">
      <formula>0</formula>
    </cfRule>
  </conditionalFormatting>
  <conditionalFormatting sqref="I8 H9:I9 J9:L12 H13 I10:I13 H15 H17 H19 H21 H23 H25 H27 H29 H31">
    <cfRule type="cellIs" dxfId="5" priority="6" stopIfTrue="1" operator="equal">
      <formula>0</formula>
    </cfRule>
  </conditionalFormatting>
  <conditionalFormatting sqref="C29">
    <cfRule type="cellIs" dxfId="4" priority="5" stopIfTrue="1" operator="equal">
      <formula>0</formula>
    </cfRule>
  </conditionalFormatting>
  <conditionalFormatting sqref="I29">
    <cfRule type="cellIs" dxfId="3" priority="4" stopIfTrue="1" operator="equal">
      <formula>0</formula>
    </cfRule>
  </conditionalFormatting>
  <conditionalFormatting sqref="C31 I31">
    <cfRule type="cellIs" dxfId="2" priority="3" stopIfTrue="1" operator="equal">
      <formula>0</formula>
    </cfRule>
  </conditionalFormatting>
  <conditionalFormatting sqref="C30">
    <cfRule type="cellIs" dxfId="1" priority="2" stopIfTrue="1" operator="equal">
      <formula>0</formula>
    </cfRule>
  </conditionalFormatting>
  <conditionalFormatting sqref="I30">
    <cfRule type="cellIs" dxfId="0" priority="1" stopIfTrue="1" operator="equal">
      <formula>0</formula>
    </cfRule>
  </conditionalFormatting>
  <pageMargins left="0.59055118110236227" right="7.874015748031496E-2" top="0.27559055118110237" bottom="0.31496062992125984" header="0.15748031496062992" footer="0.15748031496062992"/>
  <pageSetup paperSize="9" scale="81" orientation="portrait" horizontalDpi="300" verticalDpi="300" r:id="rId1"/>
  <colBreaks count="1" manualBreakCount="1">
    <brk id="6" max="2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6"/>
  <sheetViews>
    <sheetView workbookViewId="0">
      <selection activeCell="A12" sqref="A12:G16"/>
    </sheetView>
  </sheetViews>
  <sheetFormatPr defaultColWidth="9.140625" defaultRowHeight="12.75"/>
  <cols>
    <col min="1" max="1" width="2.85546875" style="8" customWidth="1"/>
    <col min="2" max="2" width="33.85546875" style="8" customWidth="1"/>
    <col min="3" max="3" width="7.7109375" style="8" customWidth="1"/>
    <col min="4" max="4" width="10" style="8" customWidth="1"/>
    <col min="5" max="5" width="10.85546875" style="8" customWidth="1"/>
    <col min="6" max="6" width="7.28515625" style="8" customWidth="1"/>
    <col min="7" max="7" width="9.42578125" style="76" customWidth="1"/>
    <col min="8" max="8" width="9.7109375" style="76" customWidth="1"/>
    <col min="9" max="9" width="12.5703125" style="76" customWidth="1"/>
    <col min="10" max="16384" width="9.140625" style="76"/>
  </cols>
  <sheetData>
    <row r="1" spans="1:9" s="84" customFormat="1" ht="45.75" customHeight="1" thickBot="1">
      <c r="B1" s="178" t="s">
        <v>141</v>
      </c>
      <c r="C1" s="54" t="s">
        <v>52</v>
      </c>
      <c r="D1" s="88"/>
      <c r="E1" s="88"/>
      <c r="F1" s="88"/>
      <c r="G1" s="89"/>
      <c r="H1" s="181"/>
    </row>
    <row r="2" spans="1:9" s="2" customFormat="1" ht="31.5" customHeight="1">
      <c r="A2" s="1"/>
      <c r="B2" s="177" t="s">
        <v>150</v>
      </c>
      <c r="C2" s="176"/>
      <c r="D2" s="176"/>
      <c r="E2" s="176"/>
      <c r="F2" s="176"/>
      <c r="G2" s="176"/>
      <c r="H2" s="176"/>
      <c r="I2" s="175"/>
    </row>
    <row r="3" spans="1:9" s="61" customFormat="1">
      <c r="A3" s="60"/>
      <c r="B3" s="56"/>
      <c r="C3" s="56"/>
      <c r="D3" s="56"/>
      <c r="E3" s="56"/>
      <c r="F3" s="56"/>
      <c r="G3" s="56"/>
      <c r="H3" s="56"/>
      <c r="I3" s="60"/>
    </row>
    <row r="4" spans="1:9" s="65" customFormat="1" ht="60">
      <c r="A4" s="62"/>
      <c r="B4" s="63" t="s">
        <v>1</v>
      </c>
      <c r="C4" s="64" t="s">
        <v>29</v>
      </c>
      <c r="D4" s="64" t="s">
        <v>16</v>
      </c>
      <c r="E4" s="64" t="s">
        <v>3</v>
      </c>
      <c r="F4" s="64" t="s">
        <v>30</v>
      </c>
      <c r="G4" s="64" t="s">
        <v>5</v>
      </c>
      <c r="H4" s="64" t="s">
        <v>31</v>
      </c>
    </row>
    <row r="5" spans="1:9" s="65" customFormat="1" ht="24">
      <c r="A5" s="66">
        <v>1</v>
      </c>
      <c r="B5" s="67">
        <v>2</v>
      </c>
      <c r="C5" s="67">
        <v>4</v>
      </c>
      <c r="D5" s="66">
        <v>5</v>
      </c>
      <c r="E5" s="67">
        <v>6</v>
      </c>
      <c r="F5" s="66">
        <v>7</v>
      </c>
      <c r="G5" s="67">
        <v>8</v>
      </c>
      <c r="H5" s="67" t="s">
        <v>32</v>
      </c>
    </row>
    <row r="6" spans="1:9" s="65" customFormat="1" ht="12">
      <c r="A6" s="66"/>
      <c r="B6" s="67"/>
      <c r="C6" s="67"/>
      <c r="D6" s="66"/>
      <c r="E6" s="67"/>
      <c r="F6" s="66"/>
      <c r="G6" s="67"/>
      <c r="H6" s="68"/>
    </row>
    <row r="7" spans="1:9" s="65" customFormat="1" ht="15.75">
      <c r="A7" s="69">
        <v>1</v>
      </c>
      <c r="B7" s="70" t="s">
        <v>33</v>
      </c>
      <c r="C7" s="201">
        <v>557.34</v>
      </c>
      <c r="D7" s="71">
        <f>68+2+6</f>
        <v>76</v>
      </c>
      <c r="E7" s="5">
        <v>248</v>
      </c>
      <c r="F7" s="5">
        <v>180</v>
      </c>
      <c r="G7" s="69">
        <f>30/1000</f>
        <v>0.03</v>
      </c>
      <c r="H7" s="182">
        <f>(D7+C7/0.8)*E7*F7*G7/1000</f>
        <v>1034.7663600000001</v>
      </c>
    </row>
    <row r="8" spans="1:9" s="65" customFormat="1" ht="12">
      <c r="A8" s="69">
        <v>2</v>
      </c>
      <c r="B8" s="70"/>
      <c r="C8" s="72"/>
      <c r="D8" s="71"/>
      <c r="E8" s="73"/>
      <c r="F8" s="74"/>
      <c r="G8" s="74"/>
      <c r="H8" s="75"/>
    </row>
    <row r="9" spans="1:9" s="65" customFormat="1" ht="26.25" customHeight="1">
      <c r="A9" s="154"/>
      <c r="B9" s="825" t="s">
        <v>161</v>
      </c>
      <c r="C9" s="825"/>
      <c r="D9" s="825"/>
      <c r="E9" s="825"/>
      <c r="F9" s="825"/>
      <c r="G9" s="825"/>
      <c r="H9" s="825"/>
    </row>
    <row r="10" spans="1:9" s="65" customFormat="1" ht="12">
      <c r="A10" s="154"/>
      <c r="B10" s="825" t="s">
        <v>162</v>
      </c>
      <c r="C10" s="825"/>
      <c r="D10" s="825"/>
      <c r="E10" s="825"/>
      <c r="F10" s="825"/>
      <c r="G10" s="825"/>
      <c r="H10" s="825"/>
      <c r="I10" s="155"/>
    </row>
    <row r="11" spans="1:9" s="8" customFormat="1">
      <c r="A11" s="55"/>
      <c r="B11" s="56"/>
      <c r="C11" s="56"/>
      <c r="D11" s="56"/>
      <c r="E11" s="57"/>
      <c r="F11" s="58"/>
      <c r="G11" s="58"/>
      <c r="H11" s="56"/>
      <c r="I11" s="59"/>
    </row>
    <row r="12" spans="1:9" s="8" customFormat="1">
      <c r="A12" s="55"/>
      <c r="B12" s="179" t="s">
        <v>149</v>
      </c>
      <c r="C12" s="58"/>
      <c r="D12" s="58"/>
      <c r="E12" s="58"/>
      <c r="F12" s="58"/>
      <c r="G12" s="58"/>
      <c r="H12" s="58"/>
      <c r="I12" s="55"/>
    </row>
    <row r="14" spans="1:9" s="79" customFormat="1" ht="48">
      <c r="A14" s="77" t="s">
        <v>34</v>
      </c>
      <c r="B14" s="78" t="s">
        <v>8</v>
      </c>
      <c r="C14" s="78" t="s">
        <v>9</v>
      </c>
      <c r="D14" s="78" t="s">
        <v>10</v>
      </c>
      <c r="E14" s="78" t="s">
        <v>11</v>
      </c>
      <c r="F14" s="78" t="s">
        <v>12</v>
      </c>
      <c r="G14" s="78" t="s">
        <v>13</v>
      </c>
    </row>
    <row r="15" spans="1:9" s="79" customFormat="1" ht="93" customHeight="1">
      <c r="A15" s="80">
        <v>1</v>
      </c>
      <c r="B15" s="6" t="s">
        <v>160</v>
      </c>
      <c r="C15" s="82" t="s">
        <v>94</v>
      </c>
      <c r="D15" s="82">
        <v>700</v>
      </c>
      <c r="E15" s="82">
        <v>20</v>
      </c>
      <c r="F15" s="82">
        <v>12</v>
      </c>
      <c r="G15" s="83">
        <f>D15*E15*F15/1000</f>
        <v>168</v>
      </c>
      <c r="I15" s="7"/>
    </row>
    <row r="16" spans="1:9" s="85" customFormat="1">
      <c r="A16" s="191"/>
      <c r="B16" s="191" t="s">
        <v>6</v>
      </c>
      <c r="C16" s="191"/>
      <c r="D16" s="191"/>
      <c r="E16" s="191"/>
      <c r="F16" s="191"/>
      <c r="G16" s="192">
        <f>SUM(G15)</f>
        <v>168</v>
      </c>
    </row>
  </sheetData>
  <mergeCells count="2">
    <mergeCell ref="B9:H9"/>
    <mergeCell ref="B10:H10"/>
  </mergeCells>
  <pageMargins left="0.46" right="0.39370078740157499" top="0.59055118110236204" bottom="0.59055118110236204" header="0.31496062992126" footer="0.31496062992126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1"/>
  <sheetViews>
    <sheetView topLeftCell="A4" workbookViewId="0">
      <selection activeCell="A12" sqref="A12:G16"/>
    </sheetView>
  </sheetViews>
  <sheetFormatPr defaultColWidth="9.140625" defaultRowHeight="12.75"/>
  <cols>
    <col min="1" max="1" width="2.85546875" style="84" customWidth="1"/>
    <col min="2" max="2" width="29.140625" style="84" customWidth="1"/>
    <col min="3" max="3" width="7.7109375" style="84" customWidth="1"/>
    <col min="4" max="4" width="10" style="84" customWidth="1"/>
    <col min="5" max="5" width="10.85546875" style="84" customWidth="1"/>
    <col min="6" max="6" width="10.5703125" style="84" customWidth="1"/>
    <col min="7" max="7" width="9.42578125" style="85" customWidth="1"/>
    <col min="8" max="8" width="9.7109375" style="85" customWidth="1"/>
    <col min="9" max="16384" width="9.140625" style="85"/>
  </cols>
  <sheetData>
    <row r="1" spans="1:8" s="193" customFormat="1" ht="30.75" customHeight="1" thickBot="1">
      <c r="B1" s="194" t="s">
        <v>141</v>
      </c>
      <c r="C1" s="195" t="s">
        <v>155</v>
      </c>
      <c r="D1" s="196"/>
      <c r="E1" s="196"/>
      <c r="F1" s="196"/>
      <c r="G1" s="197"/>
      <c r="H1" s="198"/>
    </row>
    <row r="2" spans="1:8" s="2" customFormat="1" ht="31.5" customHeight="1">
      <c r="A2" s="1"/>
      <c r="B2" s="177" t="s">
        <v>150</v>
      </c>
      <c r="C2" s="176"/>
      <c r="D2" s="176"/>
      <c r="E2" s="176"/>
      <c r="F2" s="176"/>
      <c r="G2" s="176"/>
      <c r="H2" s="176"/>
    </row>
    <row r="3" spans="1:8" s="61" customFormat="1">
      <c r="A3" s="60"/>
      <c r="B3" s="56"/>
      <c r="C3" s="56"/>
      <c r="D3" s="56"/>
      <c r="E3" s="56"/>
      <c r="F3" s="56"/>
      <c r="G3" s="56"/>
      <c r="H3" s="56"/>
    </row>
    <row r="4" spans="1:8" s="99" customFormat="1" ht="60">
      <c r="A4" s="96"/>
      <c r="B4" s="97" t="s">
        <v>1</v>
      </c>
      <c r="C4" s="98" t="s">
        <v>29</v>
      </c>
      <c r="D4" s="98" t="s">
        <v>16</v>
      </c>
      <c r="E4" s="98" t="s">
        <v>3</v>
      </c>
      <c r="F4" s="98" t="s">
        <v>30</v>
      </c>
      <c r="G4" s="98" t="s">
        <v>5</v>
      </c>
      <c r="H4" s="98" t="s">
        <v>31</v>
      </c>
    </row>
    <row r="5" spans="1:8" s="99" customFormat="1" ht="24">
      <c r="A5" s="100">
        <v>1</v>
      </c>
      <c r="B5" s="101">
        <v>2</v>
      </c>
      <c r="C5" s="101">
        <v>4</v>
      </c>
      <c r="D5" s="100">
        <v>5</v>
      </c>
      <c r="E5" s="101">
        <v>6</v>
      </c>
      <c r="F5" s="100">
        <v>7</v>
      </c>
      <c r="G5" s="101">
        <v>8</v>
      </c>
      <c r="H5" s="101" t="s">
        <v>32</v>
      </c>
    </row>
    <row r="6" spans="1:8" s="99" customFormat="1" ht="12">
      <c r="A6" s="100"/>
      <c r="B6" s="101"/>
      <c r="C6" s="101"/>
      <c r="D6" s="100"/>
      <c r="E6" s="101"/>
      <c r="F6" s="100"/>
      <c r="G6" s="101"/>
      <c r="H6" s="102"/>
    </row>
    <row r="7" spans="1:8" s="99" customFormat="1" ht="15.75">
      <c r="A7" s="103">
        <v>1</v>
      </c>
      <c r="B7" s="104" t="s">
        <v>36</v>
      </c>
      <c r="C7" s="202">
        <v>528</v>
      </c>
      <c r="D7" s="71">
        <v>92</v>
      </c>
      <c r="E7" s="5">
        <v>248</v>
      </c>
      <c r="F7" s="5">
        <v>180</v>
      </c>
      <c r="G7" s="103">
        <f>30/1000</f>
        <v>0.03</v>
      </c>
      <c r="H7" s="102">
        <f>(D7+C7/0.8)*E7*F7*G7/1000</f>
        <v>1007.0783999999999</v>
      </c>
    </row>
    <row r="8" spans="1:8" s="99" customFormat="1" ht="12">
      <c r="A8" s="103">
        <v>2</v>
      </c>
      <c r="B8" s="104"/>
      <c r="C8" s="106"/>
      <c r="D8" s="105"/>
      <c r="E8" s="107"/>
      <c r="F8" s="108"/>
      <c r="G8" s="108"/>
      <c r="H8" s="109"/>
    </row>
    <row r="9" spans="1:8" s="99" customFormat="1" ht="12">
      <c r="A9" s="103">
        <v>3</v>
      </c>
      <c r="B9" s="104"/>
      <c r="C9" s="106"/>
      <c r="D9" s="105"/>
      <c r="E9" s="107"/>
      <c r="F9" s="108"/>
      <c r="G9" s="108"/>
      <c r="H9" s="109"/>
    </row>
    <row r="10" spans="1:8" s="99" customFormat="1" ht="12">
      <c r="A10" s="103"/>
      <c r="B10" s="104"/>
      <c r="C10" s="106"/>
      <c r="D10" s="105"/>
      <c r="E10" s="102"/>
      <c r="F10" s="102"/>
      <c r="G10" s="102"/>
      <c r="H10" s="109"/>
    </row>
    <row r="11" spans="1:8" s="113" customFormat="1" ht="12">
      <c r="A11" s="100"/>
      <c r="B11" s="110" t="s">
        <v>6</v>
      </c>
      <c r="C11" s="100">
        <f>SUM(C7:C10)</f>
        <v>528</v>
      </c>
      <c r="D11" s="111">
        <f>SUM(D7)</f>
        <v>92</v>
      </c>
      <c r="E11" s="101" t="s">
        <v>7</v>
      </c>
      <c r="F11" s="101" t="s">
        <v>7</v>
      </c>
      <c r="G11" s="101" t="s">
        <v>7</v>
      </c>
      <c r="H11" s="112">
        <f>SUM(H7:H10)</f>
        <v>1007.0783999999999</v>
      </c>
    </row>
    <row r="12" spans="1:8" s="113" customFormat="1" ht="12"/>
    <row r="13" spans="1:8" s="113" customFormat="1" ht="12"/>
    <row r="14" spans="1:8">
      <c r="A14" s="85"/>
      <c r="B14" s="179" t="s">
        <v>149</v>
      </c>
      <c r="C14" s="85"/>
      <c r="D14" s="85"/>
      <c r="E14" s="85"/>
      <c r="F14" s="85"/>
    </row>
    <row r="15" spans="1:8" s="95" customFormat="1">
      <c r="A15" s="94"/>
      <c r="B15" s="91"/>
      <c r="C15" s="91"/>
      <c r="D15" s="91"/>
      <c r="E15" s="91"/>
      <c r="F15" s="91"/>
      <c r="G15" s="91"/>
      <c r="H15" s="91"/>
    </row>
    <row r="16" spans="1:8" s="99" customFormat="1" ht="36">
      <c r="A16" s="114" t="s">
        <v>34</v>
      </c>
      <c r="B16" s="115" t="s">
        <v>8</v>
      </c>
      <c r="C16" s="115" t="s">
        <v>9</v>
      </c>
      <c r="D16" s="115" t="s">
        <v>10</v>
      </c>
      <c r="E16" s="115" t="s">
        <v>11</v>
      </c>
      <c r="F16" s="115" t="s">
        <v>12</v>
      </c>
      <c r="G16" s="115" t="s">
        <v>13</v>
      </c>
    </row>
    <row r="17" spans="1:7" s="99" customFormat="1" ht="0.75" hidden="1" customHeight="1">
      <c r="A17" s="74">
        <v>1</v>
      </c>
      <c r="B17" s="116" t="s">
        <v>37</v>
      </c>
      <c r="C17" s="103"/>
      <c r="D17" s="117">
        <v>1</v>
      </c>
      <c r="E17" s="117">
        <v>12500</v>
      </c>
      <c r="F17" s="117">
        <v>4</v>
      </c>
      <c r="G17" s="118"/>
    </row>
    <row r="18" spans="1:7" s="99" customFormat="1" ht="0.75" customHeight="1">
      <c r="A18" s="74"/>
      <c r="B18" s="116"/>
      <c r="C18" s="103"/>
      <c r="D18" s="117"/>
      <c r="E18" s="117"/>
      <c r="F18" s="117"/>
      <c r="G18" s="118"/>
    </row>
    <row r="19" spans="1:7" s="99" customFormat="1" ht="0.75" customHeight="1">
      <c r="A19" s="74"/>
      <c r="B19" s="116"/>
      <c r="C19" s="103"/>
      <c r="D19" s="117"/>
      <c r="E19" s="117"/>
      <c r="F19" s="117"/>
      <c r="G19" s="118"/>
    </row>
    <row r="20" spans="1:7" s="99" customFormat="1" ht="124.5" customHeight="1">
      <c r="A20" s="74">
        <v>2</v>
      </c>
      <c r="B20" s="6" t="s">
        <v>160</v>
      </c>
      <c r="C20" s="103" t="s">
        <v>129</v>
      </c>
      <c r="D20" s="103">
        <v>200</v>
      </c>
      <c r="E20" s="103">
        <v>20</v>
      </c>
      <c r="F20" s="103">
        <v>12</v>
      </c>
      <c r="G20" s="119">
        <f>SUM(D20*E20*F20)/1000</f>
        <v>48</v>
      </c>
    </row>
    <row r="21" spans="1:7" s="99" customFormat="1" ht="12">
      <c r="A21" s="74"/>
      <c r="B21" s="120" t="s">
        <v>75</v>
      </c>
      <c r="C21" s="103"/>
      <c r="D21" s="103"/>
      <c r="E21" s="103"/>
      <c r="F21" s="103"/>
      <c r="G21" s="166">
        <f>SUM(G20:G20)</f>
        <v>48</v>
      </c>
    </row>
  </sheetData>
  <pageMargins left="0.43" right="0.19" top="0.59055118110236204" bottom="0.59055118110236204" header="0.31496062992126" footer="0.31496062992126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5"/>
  <sheetViews>
    <sheetView topLeftCell="A7" workbookViewId="0">
      <selection activeCell="A12" sqref="A12:G16"/>
    </sheetView>
  </sheetViews>
  <sheetFormatPr defaultColWidth="9.140625" defaultRowHeight="12.75"/>
  <cols>
    <col min="1" max="1" width="2.85546875" style="84" customWidth="1"/>
    <col min="2" max="2" width="29.5703125" style="84" customWidth="1"/>
    <col min="3" max="3" width="7.7109375" style="84" customWidth="1"/>
    <col min="4" max="4" width="10" style="84" customWidth="1"/>
    <col min="5" max="5" width="10.85546875" style="84" customWidth="1"/>
    <col min="6" max="6" width="10.5703125" style="84" customWidth="1"/>
    <col min="7" max="7" width="9.42578125" style="84" customWidth="1"/>
    <col min="8" max="8" width="9.7109375" style="84" customWidth="1"/>
    <col min="9" max="9" width="12.28515625" style="84" customWidth="1"/>
    <col min="10" max="16384" width="9.140625" style="84"/>
  </cols>
  <sheetData>
    <row r="1" spans="1:8" ht="30.75" customHeight="1" thickBot="1">
      <c r="B1" s="178" t="s">
        <v>141</v>
      </c>
      <c r="C1" s="87" t="s">
        <v>156</v>
      </c>
      <c r="D1" s="88"/>
      <c r="E1" s="88"/>
      <c r="F1" s="88"/>
      <c r="G1" s="89"/>
      <c r="H1" s="181"/>
    </row>
    <row r="2" spans="1:8" s="2" customFormat="1" ht="31.5" customHeight="1">
      <c r="A2" s="1"/>
      <c r="B2" s="177" t="s">
        <v>150</v>
      </c>
      <c r="C2" s="176"/>
      <c r="D2" s="176"/>
      <c r="E2" s="176"/>
      <c r="F2" s="176"/>
      <c r="G2" s="176"/>
      <c r="H2" s="176"/>
    </row>
    <row r="3" spans="1:8" s="61" customFormat="1">
      <c r="A3" s="60"/>
      <c r="B3" s="56"/>
      <c r="C3" s="56"/>
      <c r="D3" s="56"/>
      <c r="E3" s="56"/>
      <c r="F3" s="56"/>
      <c r="G3" s="56"/>
      <c r="H3" s="56"/>
    </row>
    <row r="4" spans="1:8" s="99" customFormat="1" ht="84">
      <c r="A4" s="96"/>
      <c r="B4" s="97" t="s">
        <v>1</v>
      </c>
      <c r="C4" s="98" t="s">
        <v>29</v>
      </c>
      <c r="D4" s="98" t="s">
        <v>16</v>
      </c>
      <c r="E4" s="98" t="s">
        <v>3</v>
      </c>
      <c r="F4" s="98" t="s">
        <v>30</v>
      </c>
      <c r="G4" s="98" t="s">
        <v>5</v>
      </c>
      <c r="H4" s="121" t="s">
        <v>31</v>
      </c>
    </row>
    <row r="5" spans="1:8" s="99" customFormat="1" ht="24">
      <c r="A5" s="100">
        <v>1</v>
      </c>
      <c r="B5" s="101">
        <v>2</v>
      </c>
      <c r="C5" s="101">
        <v>4</v>
      </c>
      <c r="D5" s="100">
        <v>5</v>
      </c>
      <c r="E5" s="101">
        <v>6</v>
      </c>
      <c r="F5" s="100">
        <v>7</v>
      </c>
      <c r="G5" s="101">
        <v>8</v>
      </c>
      <c r="H5" s="122" t="s">
        <v>32</v>
      </c>
    </row>
    <row r="6" spans="1:8" s="99" customFormat="1" ht="12">
      <c r="A6" s="100"/>
      <c r="B6" s="101"/>
      <c r="C6" s="101"/>
      <c r="D6" s="100"/>
      <c r="E6" s="101"/>
      <c r="F6" s="100"/>
      <c r="G6" s="101"/>
      <c r="H6" s="123"/>
    </row>
    <row r="7" spans="1:8" s="99" customFormat="1" ht="15.75">
      <c r="A7" s="103">
        <v>1</v>
      </c>
      <c r="B7" s="35" t="s">
        <v>38</v>
      </c>
      <c r="C7" s="200">
        <v>444</v>
      </c>
      <c r="D7" s="71">
        <v>78</v>
      </c>
      <c r="E7" s="5">
        <v>248</v>
      </c>
      <c r="F7" s="5">
        <v>180</v>
      </c>
      <c r="G7" s="103">
        <f>30/1000</f>
        <v>0.03</v>
      </c>
      <c r="H7" s="123">
        <f>(D7+C7/0.8)*E7*F7*G7/1000</f>
        <v>847.71359999999993</v>
      </c>
    </row>
    <row r="8" spans="1:8" s="99" customFormat="1" ht="12">
      <c r="A8" s="103">
        <v>2</v>
      </c>
      <c r="B8" s="104"/>
      <c r="C8" s="106"/>
      <c r="D8" s="105"/>
      <c r="E8" s="107"/>
      <c r="F8" s="108"/>
      <c r="G8" s="108"/>
      <c r="H8" s="124"/>
    </row>
    <row r="9" spans="1:8" s="99" customFormat="1" ht="12">
      <c r="A9" s="103"/>
      <c r="B9" s="104"/>
      <c r="C9" s="106"/>
      <c r="D9" s="105"/>
      <c r="E9" s="102"/>
      <c r="F9" s="102"/>
      <c r="G9" s="102"/>
      <c r="H9" s="124"/>
    </row>
    <row r="10" spans="1:8" s="113" customFormat="1" ht="12">
      <c r="A10" s="100"/>
      <c r="B10" s="110" t="s">
        <v>6</v>
      </c>
      <c r="C10" s="100">
        <f>SUM(C7:C9)</f>
        <v>444</v>
      </c>
      <c r="D10" s="111">
        <f>SUM(D7)</f>
        <v>78</v>
      </c>
      <c r="E10" s="101" t="s">
        <v>7</v>
      </c>
      <c r="F10" s="101" t="s">
        <v>7</v>
      </c>
      <c r="G10" s="101" t="s">
        <v>7</v>
      </c>
      <c r="H10" s="183">
        <f>SUM(H7:H9)</f>
        <v>847.71359999999993</v>
      </c>
    </row>
    <row r="11" spans="1:8" s="113" customFormat="1" ht="12">
      <c r="A11" s="184"/>
      <c r="B11" s="185"/>
      <c r="C11" s="186"/>
      <c r="D11" s="187"/>
      <c r="E11" s="188"/>
      <c r="F11" s="188"/>
      <c r="G11" s="188"/>
      <c r="H11" s="189"/>
    </row>
    <row r="12" spans="1:8" s="113" customFormat="1" ht="24.75" customHeight="1">
      <c r="B12" s="825" t="s">
        <v>163</v>
      </c>
      <c r="C12" s="825"/>
      <c r="D12" s="825"/>
      <c r="E12" s="825"/>
      <c r="F12" s="825"/>
      <c r="G12" s="825"/>
      <c r="H12" s="825"/>
    </row>
    <row r="13" spans="1:8" ht="18" customHeight="1">
      <c r="B13" s="825" t="s">
        <v>162</v>
      </c>
      <c r="C13" s="825"/>
      <c r="D13" s="825"/>
      <c r="E13" s="825"/>
      <c r="F13" s="825"/>
      <c r="G13" s="825"/>
      <c r="H13" s="825"/>
    </row>
    <row r="14" spans="1:8" s="24" customFormat="1">
      <c r="D14" s="141"/>
    </row>
    <row r="15" spans="1:8" s="24" customFormat="1">
      <c r="B15" s="141" t="s">
        <v>136</v>
      </c>
      <c r="D15" s="141"/>
    </row>
    <row r="16" spans="1:8" s="24" customFormat="1">
      <c r="B16" s="826" t="s">
        <v>79</v>
      </c>
      <c r="C16" s="827"/>
      <c r="D16" s="149" t="s">
        <v>83</v>
      </c>
      <c r="E16" s="149" t="s">
        <v>84</v>
      </c>
      <c r="F16" s="149" t="s">
        <v>85</v>
      </c>
      <c r="G16" s="149" t="s">
        <v>86</v>
      </c>
      <c r="H16" s="149" t="s">
        <v>87</v>
      </c>
    </row>
    <row r="17" spans="1:10" s="24" customFormat="1">
      <c r="B17" s="150" t="s">
        <v>80</v>
      </c>
      <c r="C17" s="151"/>
      <c r="D17" s="149">
        <f>10+2</f>
        <v>12</v>
      </c>
      <c r="E17" s="149">
        <v>49</v>
      </c>
      <c r="F17" s="149">
        <v>13</v>
      </c>
      <c r="G17" s="149">
        <v>20</v>
      </c>
      <c r="H17" s="153">
        <f>+D17+E17+F17+G17</f>
        <v>94</v>
      </c>
    </row>
    <row r="18" spans="1:10" s="24" customFormat="1">
      <c r="B18" s="160"/>
      <c r="C18" s="152"/>
      <c r="D18" s="152"/>
      <c r="E18" s="152"/>
      <c r="F18" s="152"/>
      <c r="G18" s="161" t="s">
        <v>164</v>
      </c>
    </row>
    <row r="19" spans="1:10" s="24" customFormat="1">
      <c r="B19" s="160"/>
      <c r="C19" s="152"/>
      <c r="D19" s="152"/>
      <c r="E19" s="152"/>
      <c r="F19" s="152"/>
      <c r="G19" s="161"/>
    </row>
    <row r="20" spans="1:10" s="24" customFormat="1">
      <c r="B20" s="179" t="s">
        <v>149</v>
      </c>
      <c r="C20" s="152"/>
      <c r="D20" s="152"/>
      <c r="E20" s="152"/>
      <c r="F20" s="152"/>
      <c r="G20" s="161"/>
    </row>
    <row r="21" spans="1:10" s="24" customFormat="1">
      <c r="B21" s="160"/>
      <c r="C21" s="152"/>
      <c r="D21" s="152"/>
      <c r="E21" s="152"/>
      <c r="F21" s="152"/>
      <c r="G21" s="161"/>
    </row>
    <row r="22" spans="1:10" s="79" customFormat="1" ht="36">
      <c r="A22" s="77" t="s">
        <v>34</v>
      </c>
      <c r="B22" s="78" t="s">
        <v>96</v>
      </c>
      <c r="C22" s="78" t="s">
        <v>97</v>
      </c>
      <c r="D22" s="78" t="s">
        <v>107</v>
      </c>
      <c r="E22" s="78" t="s">
        <v>108</v>
      </c>
      <c r="F22" s="78" t="s">
        <v>109</v>
      </c>
      <c r="G22" s="78" t="s">
        <v>13</v>
      </c>
      <c r="I22" s="84"/>
    </row>
    <row r="23" spans="1:10" s="79" customFormat="1" ht="121.5" customHeight="1">
      <c r="A23" s="80">
        <v>1</v>
      </c>
      <c r="B23" s="6" t="s">
        <v>160</v>
      </c>
      <c r="C23" s="82" t="s">
        <v>94</v>
      </c>
      <c r="D23" s="82">
        <v>580</v>
      </c>
      <c r="E23" s="81">
        <v>20</v>
      </c>
      <c r="F23" s="82">
        <v>12</v>
      </c>
      <c r="G23" s="83">
        <f>D23*F23*E23/1000</f>
        <v>139.19999999999999</v>
      </c>
      <c r="I23" s="84"/>
      <c r="J23" s="127"/>
    </row>
    <row r="24" spans="1:10" s="79" customFormat="1" hidden="1">
      <c r="A24" s="80">
        <v>3</v>
      </c>
      <c r="B24" s="164" t="s">
        <v>39</v>
      </c>
      <c r="C24" s="81"/>
      <c r="D24" s="81"/>
      <c r="E24" s="82"/>
      <c r="F24" s="82"/>
      <c r="G24" s="83"/>
      <c r="I24" s="84"/>
      <c r="J24" s="126"/>
    </row>
    <row r="25" spans="1:10" s="79" customFormat="1" hidden="1">
      <c r="A25" s="80">
        <v>4</v>
      </c>
      <c r="B25" s="142" t="s">
        <v>22</v>
      </c>
      <c r="C25" s="82" t="s">
        <v>15</v>
      </c>
      <c r="D25" s="81">
        <v>2000</v>
      </c>
      <c r="E25" s="81">
        <v>2500</v>
      </c>
      <c r="F25" s="81">
        <v>16</v>
      </c>
      <c r="G25" s="83"/>
      <c r="I25" s="84"/>
      <c r="J25" s="126"/>
    </row>
    <row r="26" spans="1:10" s="79" customFormat="1">
      <c r="A26" s="80"/>
      <c r="B26" s="120" t="s">
        <v>75</v>
      </c>
      <c r="C26" s="82"/>
      <c r="D26" s="81"/>
      <c r="E26" s="81"/>
      <c r="F26" s="81"/>
      <c r="G26" s="157">
        <f>SUM(G23:G25)</f>
        <v>139.19999999999999</v>
      </c>
      <c r="I26" s="84"/>
      <c r="J26" s="126"/>
    </row>
    <row r="27" spans="1:10">
      <c r="G27" s="162"/>
    </row>
    <row r="35" spans="9:9">
      <c r="I35" s="84" t="s">
        <v>159</v>
      </c>
    </row>
  </sheetData>
  <mergeCells count="3">
    <mergeCell ref="B16:C16"/>
    <mergeCell ref="B12:H12"/>
    <mergeCell ref="B13:H13"/>
  </mergeCells>
  <pageMargins left="0.41" right="0.19" top="0.59055118110236204" bottom="0.59055118110236204" header="0.31496062992126" footer="0.31496062992126"/>
  <pageSetup paperSize="9" scale="95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8"/>
  <sheetViews>
    <sheetView topLeftCell="A4" workbookViewId="0">
      <selection activeCell="A12" sqref="A12:G16"/>
    </sheetView>
  </sheetViews>
  <sheetFormatPr defaultColWidth="9.140625" defaultRowHeight="12.75"/>
  <cols>
    <col min="1" max="1" width="2.85546875" style="84" customWidth="1"/>
    <col min="2" max="2" width="31" style="84" customWidth="1"/>
    <col min="3" max="3" width="7.7109375" style="84" customWidth="1"/>
    <col min="4" max="4" width="10" style="84" customWidth="1"/>
    <col min="5" max="5" width="10.85546875" style="84" customWidth="1"/>
    <col min="6" max="6" width="10.5703125" style="84" customWidth="1"/>
    <col min="7" max="7" width="9.42578125" style="85" customWidth="1"/>
    <col min="8" max="8" width="9.7109375" style="85" customWidth="1"/>
    <col min="9" max="16384" width="9.140625" style="85"/>
  </cols>
  <sheetData>
    <row r="1" spans="1:9" s="84" customFormat="1" ht="30.75" customHeight="1" thickBot="1">
      <c r="B1" s="178" t="s">
        <v>141</v>
      </c>
      <c r="C1" s="87" t="s">
        <v>157</v>
      </c>
      <c r="D1" s="88"/>
      <c r="E1" s="88"/>
      <c r="F1" s="88"/>
      <c r="G1" s="89"/>
      <c r="H1" s="181"/>
    </row>
    <row r="2" spans="1:9" s="2" customFormat="1" ht="31.5" customHeight="1">
      <c r="A2" s="1"/>
      <c r="B2" s="177" t="s">
        <v>150</v>
      </c>
      <c r="C2" s="176"/>
      <c r="D2" s="176"/>
      <c r="E2" s="176"/>
      <c r="F2" s="176"/>
      <c r="G2" s="176"/>
      <c r="H2" s="176"/>
    </row>
    <row r="3" spans="1:9" s="61" customFormat="1">
      <c r="A3" s="60"/>
      <c r="B3" s="56"/>
      <c r="C3" s="56"/>
      <c r="D3" s="56"/>
      <c r="E3" s="56"/>
      <c r="F3" s="56"/>
      <c r="G3" s="56"/>
      <c r="H3" s="56"/>
    </row>
    <row r="4" spans="1:9" s="128" customFormat="1" ht="84">
      <c r="A4" s="96"/>
      <c r="B4" s="97" t="s">
        <v>1</v>
      </c>
      <c r="C4" s="98" t="s">
        <v>29</v>
      </c>
      <c r="D4" s="98" t="s">
        <v>16</v>
      </c>
      <c r="E4" s="98" t="s">
        <v>3</v>
      </c>
      <c r="F4" s="98" t="s">
        <v>30</v>
      </c>
      <c r="G4" s="98" t="s">
        <v>5</v>
      </c>
      <c r="H4" s="121" t="s">
        <v>31</v>
      </c>
    </row>
    <row r="5" spans="1:9" s="128" customFormat="1" ht="24">
      <c r="A5" s="100">
        <v>1</v>
      </c>
      <c r="B5" s="101">
        <v>2</v>
      </c>
      <c r="C5" s="101">
        <v>4</v>
      </c>
      <c r="D5" s="100">
        <v>5</v>
      </c>
      <c r="E5" s="101">
        <v>6</v>
      </c>
      <c r="F5" s="100">
        <v>7</v>
      </c>
      <c r="G5" s="101">
        <v>8</v>
      </c>
      <c r="H5" s="122" t="s">
        <v>32</v>
      </c>
    </row>
    <row r="6" spans="1:9" s="128" customFormat="1" ht="12">
      <c r="A6" s="100"/>
      <c r="B6" s="101"/>
      <c r="C6" s="101"/>
      <c r="D6" s="100"/>
      <c r="E6" s="101"/>
      <c r="F6" s="100"/>
      <c r="G6" s="101"/>
      <c r="H6" s="123"/>
    </row>
    <row r="7" spans="1:9" s="128" customFormat="1" ht="15.75">
      <c r="A7" s="103">
        <v>1</v>
      </c>
      <c r="B7" s="104" t="s">
        <v>40</v>
      </c>
      <c r="C7" s="202">
        <v>517.88</v>
      </c>
      <c r="D7" s="129">
        <v>68</v>
      </c>
      <c r="E7" s="5">
        <v>248</v>
      </c>
      <c r="F7" s="5">
        <v>180</v>
      </c>
      <c r="G7" s="103">
        <f>30/1000</f>
        <v>0.03</v>
      </c>
      <c r="H7" s="123">
        <f>(D7+C7/0.8)*E7*F7*G7/1000</f>
        <v>957.99671999999987</v>
      </c>
    </row>
    <row r="8" spans="1:9" s="128" customFormat="1" ht="12">
      <c r="A8" s="103">
        <v>2</v>
      </c>
      <c r="B8" s="104"/>
      <c r="C8" s="106"/>
      <c r="D8" s="105"/>
      <c r="E8" s="107"/>
      <c r="F8" s="108"/>
      <c r="G8" s="108"/>
      <c r="H8" s="124"/>
    </row>
    <row r="9" spans="1:9" s="128" customFormat="1" ht="12">
      <c r="A9" s="103"/>
      <c r="B9" s="104"/>
      <c r="C9" s="106"/>
      <c r="D9" s="105"/>
      <c r="E9" s="102"/>
      <c r="F9" s="102"/>
      <c r="G9" s="102"/>
      <c r="H9" s="124"/>
    </row>
    <row r="10" spans="1:9" s="130" customFormat="1" ht="12">
      <c r="A10" s="100"/>
      <c r="B10" s="110" t="s">
        <v>6</v>
      </c>
      <c r="C10" s="100">
        <f>SUM(C7:C9)</f>
        <v>517.88</v>
      </c>
      <c r="D10" s="111">
        <f>SUM(D7)</f>
        <v>68</v>
      </c>
      <c r="E10" s="101" t="s">
        <v>7</v>
      </c>
      <c r="F10" s="101" t="s">
        <v>7</v>
      </c>
      <c r="G10" s="101" t="s">
        <v>7</v>
      </c>
      <c r="H10" s="125">
        <f>SUM(H7:H9)</f>
        <v>957.99671999999987</v>
      </c>
    </row>
    <row r="11" spans="1:9" s="113" customFormat="1" ht="12">
      <c r="A11" s="131"/>
      <c r="B11" s="131"/>
      <c r="C11" s="131"/>
      <c r="D11" s="131"/>
      <c r="E11" s="131"/>
      <c r="F11" s="131"/>
      <c r="G11" s="131"/>
      <c r="H11" s="131"/>
      <c r="I11" s="131"/>
    </row>
    <row r="12" spans="1:9" s="113" customFormat="1" ht="12">
      <c r="A12" s="131"/>
      <c r="B12" s="131"/>
      <c r="C12" s="131"/>
      <c r="D12" s="131"/>
      <c r="E12" s="131"/>
      <c r="F12" s="131"/>
      <c r="G12" s="131"/>
      <c r="H12" s="131"/>
    </row>
    <row r="13" spans="1:9" ht="15.75">
      <c r="A13" s="132"/>
      <c r="B13" s="179" t="s">
        <v>149</v>
      </c>
      <c r="C13" s="132"/>
      <c r="D13" s="132"/>
      <c r="E13" s="132"/>
      <c r="F13" s="132"/>
      <c r="G13" s="132"/>
      <c r="H13" s="132"/>
    </row>
    <row r="14" spans="1:9" s="95" customFormat="1">
      <c r="A14" s="94"/>
      <c r="B14" s="91"/>
      <c r="C14" s="91"/>
      <c r="D14" s="91"/>
      <c r="E14" s="91"/>
      <c r="F14" s="91"/>
      <c r="G14" s="91"/>
      <c r="H14" s="91"/>
    </row>
    <row r="15" spans="1:9" s="135" customFormat="1" ht="63">
      <c r="A15" s="133" t="s">
        <v>34</v>
      </c>
      <c r="B15" s="134" t="s">
        <v>8</v>
      </c>
      <c r="C15" s="134" t="s">
        <v>9</v>
      </c>
      <c r="D15" s="134" t="s">
        <v>10</v>
      </c>
      <c r="E15" s="134" t="s">
        <v>11</v>
      </c>
      <c r="F15" s="134" t="s">
        <v>12</v>
      </c>
      <c r="G15" s="134" t="s">
        <v>13</v>
      </c>
    </row>
    <row r="16" spans="1:9" s="135" customFormat="1" ht="106.5" customHeight="1">
      <c r="A16" s="103">
        <v>1</v>
      </c>
      <c r="B16" s="6" t="s">
        <v>160</v>
      </c>
      <c r="C16" s="136" t="s">
        <v>94</v>
      </c>
      <c r="D16" s="136">
        <v>980</v>
      </c>
      <c r="E16" s="136">
        <v>20</v>
      </c>
      <c r="F16" s="136">
        <v>12</v>
      </c>
      <c r="G16" s="137">
        <f>SUM(D16*E16*F16)/1000</f>
        <v>235.2</v>
      </c>
      <c r="H16" s="138"/>
    </row>
    <row r="17" spans="1:9" s="135" customFormat="1" ht="15" hidden="1" customHeight="1">
      <c r="A17" s="103">
        <v>3</v>
      </c>
      <c r="B17" s="165" t="s">
        <v>35</v>
      </c>
      <c r="C17" s="136"/>
      <c r="D17" s="136"/>
      <c r="E17" s="136"/>
      <c r="F17" s="136"/>
      <c r="G17" s="137">
        <f>SUM(E17*F17)/1000</f>
        <v>0</v>
      </c>
      <c r="H17" s="138"/>
      <c r="I17" s="139">
        <v>348.2</v>
      </c>
    </row>
    <row r="18" spans="1:9">
      <c r="A18" s="100"/>
      <c r="B18" s="110" t="s">
        <v>6</v>
      </c>
      <c r="C18" s="100"/>
      <c r="D18" s="111"/>
      <c r="E18" s="101"/>
      <c r="F18" s="101"/>
      <c r="G18" s="111">
        <f>SUM(G16:G17)</f>
        <v>235.2</v>
      </c>
      <c r="H18" s="131"/>
    </row>
  </sheetData>
  <pageMargins left="0.44" right="0.19" top="0.59055118110236204" bottom="0.59055118110236204" header="0.31496062992126" footer="0.31496062992126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6"/>
  <sheetViews>
    <sheetView topLeftCell="A2" workbookViewId="0">
      <selection activeCell="A12" sqref="A12:G16"/>
    </sheetView>
  </sheetViews>
  <sheetFormatPr defaultColWidth="9.140625" defaultRowHeight="12.75"/>
  <cols>
    <col min="1" max="1" width="2.85546875" style="84" customWidth="1"/>
    <col min="2" max="2" width="35.28515625" style="84" customWidth="1"/>
    <col min="3" max="3" width="7.7109375" style="84" customWidth="1"/>
    <col min="4" max="4" width="10" style="84" customWidth="1"/>
    <col min="5" max="5" width="10.85546875" style="84" customWidth="1"/>
    <col min="6" max="6" width="10.5703125" style="84" customWidth="1"/>
    <col min="7" max="7" width="9.42578125" style="85" customWidth="1"/>
    <col min="8" max="8" width="9.7109375" style="85" customWidth="1"/>
    <col min="9" max="16384" width="9.140625" style="85"/>
  </cols>
  <sheetData>
    <row r="1" spans="1:8" s="84" customFormat="1" ht="30.75" customHeight="1" thickBot="1">
      <c r="B1" s="178" t="s">
        <v>141</v>
      </c>
      <c r="C1" s="87" t="s">
        <v>158</v>
      </c>
      <c r="D1" s="88"/>
      <c r="E1" s="88"/>
      <c r="F1" s="88"/>
      <c r="G1" s="89"/>
      <c r="H1" s="181"/>
    </row>
    <row r="2" spans="1:8" s="2" customFormat="1" ht="31.5" customHeight="1">
      <c r="A2" s="1"/>
      <c r="B2" s="177" t="s">
        <v>150</v>
      </c>
      <c r="C2" s="176"/>
      <c r="D2" s="176"/>
      <c r="E2" s="176"/>
      <c r="F2" s="176"/>
      <c r="G2" s="176"/>
      <c r="H2" s="176"/>
    </row>
    <row r="3" spans="1:8" s="61" customFormat="1">
      <c r="A3" s="60"/>
      <c r="B3" s="56"/>
      <c r="C3" s="56"/>
      <c r="D3" s="56"/>
      <c r="E3" s="56"/>
      <c r="F3" s="56"/>
      <c r="G3" s="56"/>
      <c r="H3" s="56"/>
    </row>
    <row r="4" spans="1:8" s="128" customFormat="1" ht="84">
      <c r="A4" s="96"/>
      <c r="B4" s="97" t="s">
        <v>1</v>
      </c>
      <c r="C4" s="98" t="s">
        <v>29</v>
      </c>
      <c r="D4" s="98" t="s">
        <v>16</v>
      </c>
      <c r="E4" s="98" t="s">
        <v>3</v>
      </c>
      <c r="F4" s="98" t="s">
        <v>30</v>
      </c>
      <c r="G4" s="98" t="s">
        <v>5</v>
      </c>
      <c r="H4" s="121" t="s">
        <v>31</v>
      </c>
    </row>
    <row r="5" spans="1:8" s="128" customFormat="1" ht="24">
      <c r="A5" s="100">
        <v>1</v>
      </c>
      <c r="B5" s="101">
        <v>2</v>
      </c>
      <c r="C5" s="101">
        <v>4</v>
      </c>
      <c r="D5" s="100">
        <v>5</v>
      </c>
      <c r="E5" s="101">
        <v>6</v>
      </c>
      <c r="F5" s="100">
        <v>7</v>
      </c>
      <c r="G5" s="101">
        <v>8</v>
      </c>
      <c r="H5" s="122" t="s">
        <v>32</v>
      </c>
    </row>
    <row r="6" spans="1:8" s="128" customFormat="1" ht="12">
      <c r="A6" s="100"/>
      <c r="B6" s="101"/>
      <c r="C6" s="101"/>
      <c r="D6" s="100"/>
      <c r="E6" s="101"/>
      <c r="F6" s="100"/>
      <c r="G6" s="101"/>
      <c r="H6" s="123"/>
    </row>
    <row r="7" spans="1:8" s="128" customFormat="1" ht="15.75">
      <c r="A7" s="103">
        <v>1</v>
      </c>
      <c r="B7" s="104" t="s">
        <v>41</v>
      </c>
      <c r="C7" s="202">
        <v>367.9</v>
      </c>
      <c r="D7" s="140">
        <v>68</v>
      </c>
      <c r="E7" s="5">
        <v>248</v>
      </c>
      <c r="F7" s="5">
        <v>180</v>
      </c>
      <c r="G7" s="103">
        <f>30/1000</f>
        <v>0.03</v>
      </c>
      <c r="H7" s="123">
        <f>(D7+C7/0.8)*E7*F7*G7/1000</f>
        <v>706.9301999999999</v>
      </c>
    </row>
    <row r="8" spans="1:8" s="128" customFormat="1" ht="12">
      <c r="A8" s="103">
        <v>2</v>
      </c>
      <c r="B8" s="104"/>
      <c r="C8" s="106"/>
      <c r="D8" s="105"/>
      <c r="E8" s="107"/>
      <c r="F8" s="108"/>
      <c r="G8" s="108"/>
      <c r="H8" s="124"/>
    </row>
    <row r="9" spans="1:8" s="130" customFormat="1" ht="12">
      <c r="A9" s="100"/>
      <c r="B9" s="110" t="s">
        <v>6</v>
      </c>
      <c r="C9" s="100">
        <f>SUM(C7:C8)</f>
        <v>367.9</v>
      </c>
      <c r="D9" s="111">
        <f>SUM(D7)</f>
        <v>68</v>
      </c>
      <c r="E9" s="101" t="s">
        <v>7</v>
      </c>
      <c r="F9" s="101" t="s">
        <v>7</v>
      </c>
      <c r="G9" s="101" t="s">
        <v>7</v>
      </c>
      <c r="H9" s="125">
        <f>SUM(H7:H8)</f>
        <v>706.9301999999999</v>
      </c>
    </row>
    <row r="10" spans="1:8" s="113" customFormat="1" ht="12">
      <c r="A10" s="131"/>
      <c r="B10" s="131"/>
      <c r="C10" s="131"/>
      <c r="D10" s="131"/>
      <c r="E10" s="131"/>
      <c r="F10" s="131"/>
      <c r="G10" s="131"/>
      <c r="H10" s="131"/>
    </row>
    <row r="11" spans="1:8" ht="15.75">
      <c r="A11" s="132"/>
      <c r="B11" s="132"/>
      <c r="C11" s="132"/>
      <c r="D11" s="132"/>
      <c r="E11" s="132"/>
      <c r="F11" s="132"/>
      <c r="G11" s="132"/>
      <c r="H11" s="132"/>
    </row>
    <row r="12" spans="1:8" s="84" customFormat="1">
      <c r="A12" s="90"/>
      <c r="B12" s="179" t="s">
        <v>149</v>
      </c>
      <c r="C12" s="93"/>
      <c r="D12" s="93"/>
      <c r="E12" s="93"/>
      <c r="F12" s="93"/>
      <c r="G12" s="93"/>
      <c r="H12" s="93"/>
    </row>
    <row r="13" spans="1:8" s="95" customFormat="1">
      <c r="A13" s="94"/>
      <c r="B13" s="91"/>
      <c r="C13" s="91"/>
      <c r="D13" s="91"/>
      <c r="E13" s="91"/>
      <c r="F13" s="91"/>
      <c r="G13" s="91"/>
      <c r="H13" s="91"/>
    </row>
    <row r="14" spans="1:8" s="135" customFormat="1" ht="63">
      <c r="A14" s="133" t="s">
        <v>34</v>
      </c>
      <c r="B14" s="134" t="s">
        <v>8</v>
      </c>
      <c r="C14" s="134" t="s">
        <v>9</v>
      </c>
      <c r="D14" s="134" t="s">
        <v>10</v>
      </c>
      <c r="E14" s="134" t="s">
        <v>11</v>
      </c>
      <c r="F14" s="134" t="s">
        <v>12</v>
      </c>
      <c r="G14" s="134" t="s">
        <v>13</v>
      </c>
    </row>
    <row r="15" spans="1:8" s="135" customFormat="1" ht="88.5" customHeight="1">
      <c r="A15" s="103">
        <v>1</v>
      </c>
      <c r="B15" s="6" t="s">
        <v>160</v>
      </c>
      <c r="C15" s="136" t="s">
        <v>94</v>
      </c>
      <c r="D15" s="136">
        <v>400</v>
      </c>
      <c r="E15" s="136">
        <v>20</v>
      </c>
      <c r="F15" s="136">
        <v>12</v>
      </c>
      <c r="G15" s="137">
        <f>D15*E15*F15/1000</f>
        <v>96</v>
      </c>
    </row>
    <row r="16" spans="1:8">
      <c r="A16" s="191"/>
      <c r="B16" s="110" t="s">
        <v>6</v>
      </c>
      <c r="C16" s="191"/>
      <c r="D16" s="191"/>
      <c r="E16" s="191"/>
      <c r="F16" s="191"/>
      <c r="G16" s="192">
        <f>SUM(G15)</f>
        <v>96</v>
      </c>
    </row>
  </sheetData>
  <pageMargins left="0.59055118110236204" right="0.39370078740157499" top="0.59055118110236204" bottom="0.59055118110236204" header="0.31496062992126" footer="0.31496062992126"/>
  <pageSetup paperSize="9" scale="9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23"/>
  <sheetViews>
    <sheetView topLeftCell="A4" zoomScale="120" zoomScaleNormal="120" workbookViewId="0">
      <selection activeCell="D14" sqref="D14:G14"/>
    </sheetView>
  </sheetViews>
  <sheetFormatPr defaultColWidth="9.140625" defaultRowHeight="13.5"/>
  <cols>
    <col min="1" max="1" width="2.85546875" style="506" customWidth="1"/>
    <col min="2" max="2" width="15.5703125" style="506" customWidth="1"/>
    <col min="3" max="3" width="36.140625" style="506" customWidth="1"/>
    <col min="4" max="4" width="10" style="506" customWidth="1"/>
    <col min="5" max="5" width="7.85546875" style="506" customWidth="1"/>
    <col min="6" max="6" width="7.7109375" style="506" customWidth="1"/>
    <col min="7" max="7" width="7.5703125" style="606" bestFit="1" customWidth="1"/>
    <col min="8" max="8" width="17.85546875" style="606" bestFit="1" customWidth="1"/>
    <col min="9" max="16384" width="9.140625" style="606"/>
  </cols>
  <sheetData>
    <row r="1" spans="1:14" s="506" customFormat="1" ht="30.75" customHeight="1" thickBot="1">
      <c r="B1" s="507" t="s">
        <v>141</v>
      </c>
      <c r="C1" s="582" t="s">
        <v>242</v>
      </c>
      <c r="D1" s="509"/>
      <c r="E1" s="509"/>
      <c r="F1" s="509"/>
      <c r="G1" s="583"/>
      <c r="H1" s="584"/>
    </row>
    <row r="2" spans="1:14" s="585" customFormat="1" ht="31.5" customHeight="1">
      <c r="A2" s="512"/>
      <c r="B2" s="828" t="s">
        <v>150</v>
      </c>
      <c r="C2" s="828"/>
      <c r="D2" s="828"/>
      <c r="E2" s="828"/>
      <c r="F2" s="828"/>
      <c r="G2" s="828"/>
      <c r="H2" s="828"/>
    </row>
    <row r="3" spans="1:14" s="587" customFormat="1">
      <c r="A3" s="586"/>
    </row>
    <row r="4" spans="1:14" s="591" customFormat="1" ht="128.25">
      <c r="A4" s="557"/>
      <c r="B4" s="588" t="s">
        <v>89</v>
      </c>
      <c r="C4" s="589" t="s">
        <v>112</v>
      </c>
      <c r="D4" s="589" t="s">
        <v>91</v>
      </c>
      <c r="E4" s="589" t="s">
        <v>92</v>
      </c>
      <c r="F4" s="589" t="s">
        <v>113</v>
      </c>
      <c r="G4" s="589" t="s">
        <v>114</v>
      </c>
      <c r="H4" s="589" t="s">
        <v>115</v>
      </c>
      <c r="I4" s="590"/>
    </row>
    <row r="5" spans="1:14" s="591" customFormat="1" ht="12" customHeight="1">
      <c r="A5" s="592">
        <v>1</v>
      </c>
      <c r="B5" s="593">
        <v>2</v>
      </c>
      <c r="C5" s="593">
        <v>4</v>
      </c>
      <c r="D5" s="592">
        <v>5</v>
      </c>
      <c r="E5" s="593">
        <v>6</v>
      </c>
      <c r="F5" s="592">
        <v>7</v>
      </c>
      <c r="G5" s="593">
        <v>8</v>
      </c>
      <c r="H5" s="593" t="s">
        <v>32</v>
      </c>
    </row>
    <row r="6" spans="1:14" s="591" customFormat="1">
      <c r="A6" s="557">
        <v>1</v>
      </c>
      <c r="B6" s="594" t="s">
        <v>184</v>
      </c>
      <c r="C6" s="595">
        <f>249+30</f>
        <v>279</v>
      </c>
      <c r="D6" s="596">
        <f>54</f>
        <v>54</v>
      </c>
      <c r="E6" s="521">
        <v>252</v>
      </c>
      <c r="F6" s="521">
        <v>200.47</v>
      </c>
      <c r="G6" s="557">
        <f>30/1000</f>
        <v>0.03</v>
      </c>
      <c r="H6" s="558">
        <f>(D6+C6/0.8)*E6*F6*G6/1000</f>
        <v>610.38905130000001</v>
      </c>
      <c r="I6" s="597"/>
    </row>
    <row r="7" spans="1:14" s="591" customFormat="1">
      <c r="A7" s="557">
        <v>2</v>
      </c>
      <c r="B7" s="594" t="s">
        <v>185</v>
      </c>
      <c r="C7" s="595">
        <f>110.95+146.2</f>
        <v>257.14999999999998</v>
      </c>
      <c r="D7" s="596">
        <v>39</v>
      </c>
      <c r="E7" s="773">
        <v>252</v>
      </c>
      <c r="F7" s="521">
        <v>200.47</v>
      </c>
      <c r="G7" s="557">
        <f>30/1000</f>
        <v>0.03</v>
      </c>
      <c r="H7" s="558">
        <f>(D7+C7/0.8)*E7*F7*G7/1000</f>
        <v>546.2622065249999</v>
      </c>
      <c r="I7" s="597"/>
    </row>
    <row r="8" spans="1:14" s="591" customFormat="1">
      <c r="A8" s="557"/>
      <c r="B8" s="554"/>
      <c r="C8" s="596"/>
      <c r="D8" s="596"/>
      <c r="E8" s="598"/>
      <c r="F8" s="598"/>
      <c r="G8" s="598"/>
      <c r="H8" s="599"/>
      <c r="I8" s="600"/>
    </row>
    <row r="9" spans="1:14" s="600" customFormat="1" ht="14.25">
      <c r="A9" s="592"/>
      <c r="B9" s="601" t="s">
        <v>75</v>
      </c>
      <c r="C9" s="602">
        <f>SUM(C6:C8)</f>
        <v>536.15</v>
      </c>
      <c r="D9" s="603">
        <f>SUM(D6:D8)</f>
        <v>93</v>
      </c>
      <c r="E9" s="593" t="s">
        <v>7</v>
      </c>
      <c r="F9" s="593" t="s">
        <v>7</v>
      </c>
      <c r="G9" s="593" t="s">
        <v>7</v>
      </c>
      <c r="H9" s="786">
        <f>SUM(H6:H8)</f>
        <v>1156.6512578249999</v>
      </c>
    </row>
    <row r="10" spans="1:14" s="600" customFormat="1">
      <c r="A10" s="604"/>
      <c r="B10" s="604"/>
      <c r="C10" s="604"/>
      <c r="D10" s="604"/>
      <c r="E10" s="604"/>
      <c r="F10" s="604"/>
      <c r="G10" s="604"/>
      <c r="H10" s="604"/>
    </row>
    <row r="11" spans="1:14" s="545" customFormat="1">
      <c r="B11" s="491" t="s">
        <v>82</v>
      </c>
      <c r="C11" s="491"/>
      <c r="D11" s="491"/>
      <c r="E11" s="491"/>
      <c r="F11" s="491"/>
      <c r="G11" s="491"/>
      <c r="H11" s="491"/>
      <c r="M11" s="491"/>
      <c r="N11" s="491"/>
    </row>
    <row r="12" spans="1:14" s="545" customFormat="1" ht="29.25" customHeight="1">
      <c r="B12" s="818" t="s">
        <v>79</v>
      </c>
      <c r="C12" s="819"/>
      <c r="D12" s="546" t="s">
        <v>83</v>
      </c>
      <c r="E12" s="547" t="s">
        <v>84</v>
      </c>
      <c r="F12" s="547" t="s">
        <v>85</v>
      </c>
      <c r="G12" s="547" t="s">
        <v>86</v>
      </c>
      <c r="H12" s="547" t="s">
        <v>87</v>
      </c>
      <c r="M12" s="491"/>
      <c r="N12" s="491"/>
    </row>
    <row r="13" spans="1:14" s="545" customFormat="1" ht="14.25">
      <c r="B13" s="813"/>
      <c r="C13" s="815"/>
      <c r="D13" s="547"/>
      <c r="E13" s="547"/>
      <c r="F13" s="547"/>
      <c r="G13" s="547"/>
      <c r="H13" s="548">
        <f>SUM(D13:G13)</f>
        <v>0</v>
      </c>
      <c r="M13" s="491"/>
      <c r="N13" s="491"/>
    </row>
    <row r="14" spans="1:14" s="545" customFormat="1" ht="27" customHeight="1">
      <c r="B14" s="810" t="s">
        <v>242</v>
      </c>
      <c r="C14" s="812"/>
      <c r="D14" s="806">
        <v>8</v>
      </c>
      <c r="E14" s="804">
        <v>34</v>
      </c>
      <c r="F14" s="804">
        <v>19</v>
      </c>
      <c r="G14" s="804">
        <v>32</v>
      </c>
      <c r="H14" s="805">
        <f>SUM(D14:G14)</f>
        <v>93</v>
      </c>
      <c r="M14" s="491"/>
      <c r="N14" s="491"/>
    </row>
    <row r="15" spans="1:14" s="545" customFormat="1" ht="14.25">
      <c r="B15" s="549" t="s">
        <v>75</v>
      </c>
      <c r="C15" s="546"/>
      <c r="D15" s="550">
        <f>+D13+D14</f>
        <v>8</v>
      </c>
      <c r="E15" s="550">
        <f>+E13+E14</f>
        <v>34</v>
      </c>
      <c r="F15" s="550">
        <f>+F13+F14</f>
        <v>19</v>
      </c>
      <c r="G15" s="550">
        <f>+G13+G14</f>
        <v>32</v>
      </c>
      <c r="H15" s="550">
        <f>+H13+H14</f>
        <v>93</v>
      </c>
      <c r="M15" s="491"/>
      <c r="N15" s="491"/>
    </row>
    <row r="16" spans="1:14" s="600" customFormat="1">
      <c r="A16" s="604"/>
      <c r="B16" s="604"/>
      <c r="C16" s="604"/>
      <c r="D16" s="604"/>
      <c r="E16" s="604"/>
      <c r="F16" s="604"/>
      <c r="G16" s="604"/>
      <c r="H16" s="604"/>
    </row>
    <row r="17" spans="1:10" ht="17.25">
      <c r="A17" s="605"/>
      <c r="B17" s="571" t="s">
        <v>149</v>
      </c>
      <c r="C17" s="605"/>
      <c r="D17" s="605"/>
      <c r="E17" s="605"/>
      <c r="F17" s="605"/>
      <c r="G17" s="605"/>
      <c r="H17" s="605"/>
    </row>
    <row r="18" spans="1:10" ht="17.25">
      <c r="A18" s="605"/>
      <c r="B18" s="605"/>
      <c r="C18" s="605"/>
      <c r="D18" s="605"/>
      <c r="E18" s="605"/>
      <c r="F18" s="605"/>
      <c r="G18" s="605"/>
      <c r="H18" s="605"/>
    </row>
    <row r="19" spans="1:10" s="608" customFormat="1" ht="67.5">
      <c r="A19" s="575"/>
      <c r="B19" s="607" t="s">
        <v>106</v>
      </c>
      <c r="C19" s="607" t="s">
        <v>96</v>
      </c>
      <c r="D19" s="607" t="s">
        <v>97</v>
      </c>
      <c r="E19" s="607" t="s">
        <v>186</v>
      </c>
      <c r="F19" s="607" t="s">
        <v>99</v>
      </c>
      <c r="G19" s="607" t="s">
        <v>100</v>
      </c>
      <c r="H19" s="607" t="s">
        <v>187</v>
      </c>
      <c r="J19" s="609"/>
    </row>
    <row r="20" spans="1:10" s="614" customFormat="1" ht="67.5">
      <c r="A20" s="577">
        <v>1</v>
      </c>
      <c r="B20" s="610" t="s">
        <v>182</v>
      </c>
      <c r="C20" s="570" t="s">
        <v>175</v>
      </c>
      <c r="D20" s="611" t="s">
        <v>94</v>
      </c>
      <c r="E20" s="611">
        <v>600</v>
      </c>
      <c r="F20" s="577">
        <v>20</v>
      </c>
      <c r="G20" s="612">
        <v>12</v>
      </c>
      <c r="H20" s="613">
        <f>E20*F20*G20/1000</f>
        <v>144</v>
      </c>
    </row>
    <row r="21" spans="1:10" s="614" customFormat="1" ht="67.5">
      <c r="A21" s="577">
        <v>2</v>
      </c>
      <c r="B21" s="610" t="s">
        <v>183</v>
      </c>
      <c r="C21" s="570" t="s">
        <v>175</v>
      </c>
      <c r="D21" s="611" t="s">
        <v>94</v>
      </c>
      <c r="E21" s="611">
        <v>650</v>
      </c>
      <c r="F21" s="577">
        <v>20</v>
      </c>
      <c r="G21" s="612">
        <v>12</v>
      </c>
      <c r="H21" s="613">
        <f>E21*F21*G21/1000</f>
        <v>156</v>
      </c>
    </row>
    <row r="22" spans="1:10" s="614" customFormat="1" ht="14.25">
      <c r="A22" s="615"/>
      <c r="B22" s="616" t="s">
        <v>75</v>
      </c>
      <c r="C22" s="577"/>
      <c r="D22" s="577"/>
      <c r="E22" s="577"/>
      <c r="F22" s="577"/>
      <c r="G22" s="612"/>
      <c r="H22" s="617">
        <f>SUM(H20:H21)</f>
        <v>300</v>
      </c>
      <c r="I22" s="618"/>
    </row>
    <row r="23" spans="1:10" ht="14.25">
      <c r="H23" s="619"/>
    </row>
  </sheetData>
  <mergeCells count="4">
    <mergeCell ref="B12:C12"/>
    <mergeCell ref="B13:C13"/>
    <mergeCell ref="B14:C14"/>
    <mergeCell ref="B2:H2"/>
  </mergeCells>
  <pageMargins left="0.49" right="0.39370078740157499" top="0.59055118110236204" bottom="0.59055118110236204" header="0.31496062992126" footer="0.31496062992126"/>
  <pageSetup paperSize="9" scale="8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25"/>
  <sheetViews>
    <sheetView zoomScaleNormal="100" workbookViewId="0">
      <selection activeCell="D16" sqref="D16:G16"/>
    </sheetView>
  </sheetViews>
  <sheetFormatPr defaultColWidth="9.140625" defaultRowHeight="13.5"/>
  <cols>
    <col min="1" max="1" width="4" style="227" customWidth="1"/>
    <col min="2" max="2" width="18.5703125" style="227" customWidth="1"/>
    <col min="3" max="3" width="41" style="227" customWidth="1"/>
    <col min="4" max="4" width="9.42578125" style="227" customWidth="1"/>
    <col min="5" max="5" width="10.28515625" style="227" customWidth="1"/>
    <col min="6" max="6" width="10.5703125" style="227" customWidth="1"/>
    <col min="7" max="7" width="10.7109375" style="238" customWidth="1"/>
    <col min="8" max="8" width="11.28515625" style="238" customWidth="1"/>
    <col min="9" max="9" width="11.7109375" style="238" customWidth="1"/>
    <col min="10" max="10" width="10.140625" style="238" bestFit="1" customWidth="1"/>
    <col min="11" max="16384" width="9.140625" style="238"/>
  </cols>
  <sheetData>
    <row r="1" spans="1:14" s="204" customFormat="1" ht="30.75" customHeight="1" thickBot="1">
      <c r="B1" s="205" t="s">
        <v>141</v>
      </c>
      <c r="C1" s="829" t="s">
        <v>234</v>
      </c>
      <c r="D1" s="829"/>
      <c r="E1" s="829"/>
      <c r="F1" s="829"/>
      <c r="G1" s="829"/>
      <c r="H1" s="829"/>
    </row>
    <row r="2" spans="1:14" s="259" customFormat="1" ht="31.5" customHeight="1">
      <c r="A2" s="210"/>
      <c r="B2" s="836" t="s">
        <v>150</v>
      </c>
      <c r="C2" s="836"/>
      <c r="D2" s="836"/>
      <c r="E2" s="836"/>
      <c r="F2" s="836"/>
      <c r="G2" s="836"/>
      <c r="H2" s="836"/>
    </row>
    <row r="3" spans="1:14" s="262" customFormat="1">
      <c r="A3" s="260"/>
      <c r="B3" s="261"/>
      <c r="C3" s="261"/>
      <c r="D3" s="261"/>
      <c r="E3" s="261"/>
      <c r="F3" s="261"/>
      <c r="G3" s="261"/>
      <c r="H3" s="261"/>
    </row>
    <row r="4" spans="1:14" s="270" customFormat="1" ht="94.5">
      <c r="A4" s="264" t="s">
        <v>95</v>
      </c>
      <c r="B4" s="267" t="s">
        <v>89</v>
      </c>
      <c r="C4" s="268" t="s">
        <v>112</v>
      </c>
      <c r="D4" s="268" t="s">
        <v>142</v>
      </c>
      <c r="E4" s="268" t="s">
        <v>92</v>
      </c>
      <c r="F4" s="268" t="s">
        <v>113</v>
      </c>
      <c r="G4" s="268" t="s">
        <v>114</v>
      </c>
      <c r="H4" s="268" t="s">
        <v>115</v>
      </c>
      <c r="I4" s="263"/>
      <c r="J4" s="269"/>
    </row>
    <row r="5" spans="1:14" s="270" customFormat="1" ht="27">
      <c r="A5" s="271">
        <v>1</v>
      </c>
      <c r="B5" s="272">
        <v>2</v>
      </c>
      <c r="C5" s="272">
        <v>4</v>
      </c>
      <c r="D5" s="271">
        <v>5</v>
      </c>
      <c r="E5" s="272">
        <v>6</v>
      </c>
      <c r="F5" s="271">
        <v>7</v>
      </c>
      <c r="G5" s="272">
        <v>8</v>
      </c>
      <c r="H5" s="272" t="s">
        <v>32</v>
      </c>
      <c r="I5" s="269"/>
      <c r="J5" s="269"/>
    </row>
    <row r="6" spans="1:14" s="270" customFormat="1">
      <c r="A6" s="271"/>
      <c r="B6" s="272"/>
      <c r="C6" s="272"/>
      <c r="D6" s="271"/>
      <c r="E6" s="272"/>
      <c r="F6" s="271"/>
      <c r="G6" s="272"/>
      <c r="H6" s="273"/>
      <c r="I6" s="274"/>
      <c r="J6" s="269"/>
    </row>
    <row r="7" spans="1:14" s="270" customFormat="1">
      <c r="A7" s="275">
        <v>1</v>
      </c>
      <c r="B7" s="240" t="s">
        <v>138</v>
      </c>
      <c r="C7" s="733">
        <v>218</v>
      </c>
      <c r="D7" s="241">
        <f>58</f>
        <v>58</v>
      </c>
      <c r="E7" s="521">
        <v>252</v>
      </c>
      <c r="F7" s="222">
        <v>200.47</v>
      </c>
      <c r="G7" s="276">
        <f>30/1000</f>
        <v>0.03</v>
      </c>
      <c r="H7" s="787">
        <f>(D7+C7/0.8)*E7*F7*G7/1000</f>
        <v>500.89033259999997</v>
      </c>
      <c r="I7" s="274"/>
      <c r="J7" s="269"/>
    </row>
    <row r="8" spans="1:14" s="270" customFormat="1">
      <c r="A8" s="275">
        <v>2</v>
      </c>
      <c r="B8" s="240" t="s">
        <v>139</v>
      </c>
      <c r="C8" s="733">
        <f>98.8+72.4</f>
        <v>171.2</v>
      </c>
      <c r="D8" s="241">
        <v>43</v>
      </c>
      <c r="E8" s="773">
        <v>252</v>
      </c>
      <c r="F8" s="222">
        <v>200.47</v>
      </c>
      <c r="G8" s="276">
        <f>30/1000</f>
        <v>0.03</v>
      </c>
      <c r="H8" s="787">
        <f>(D8+C8/0.8)*E8*F8*G8/1000</f>
        <v>389.49717239999995</v>
      </c>
      <c r="I8" s="274"/>
      <c r="J8" s="269"/>
    </row>
    <row r="9" spans="1:14" s="270" customFormat="1">
      <c r="A9" s="275">
        <v>3</v>
      </c>
      <c r="B9" s="253" t="s">
        <v>140</v>
      </c>
      <c r="C9" s="734">
        <f>108.02+135</f>
        <v>243.01999999999998</v>
      </c>
      <c r="D9" s="222">
        <v>44</v>
      </c>
      <c r="E9" s="773">
        <v>252</v>
      </c>
      <c r="F9" s="222">
        <v>200.47</v>
      </c>
      <c r="G9" s="276">
        <f>30/1000</f>
        <v>0.03</v>
      </c>
      <c r="H9" s="787">
        <f>(D9+C9/0.8)*E9*F9*G9/1000</f>
        <v>527.07151412999985</v>
      </c>
      <c r="I9" s="274"/>
      <c r="J9" s="269"/>
    </row>
    <row r="10" spans="1:14" s="270" customFormat="1">
      <c r="A10" s="275"/>
      <c r="B10" s="278"/>
      <c r="C10" s="279"/>
      <c r="D10" s="280"/>
      <c r="E10" s="273"/>
      <c r="F10" s="273"/>
      <c r="G10" s="273"/>
      <c r="H10" s="788"/>
      <c r="I10" s="281"/>
      <c r="J10" s="281"/>
    </row>
    <row r="11" spans="1:14" s="281" customFormat="1">
      <c r="A11" s="271"/>
      <c r="B11" s="282" t="s">
        <v>75</v>
      </c>
      <c r="C11" s="283">
        <f>SUM(C7:C10)</f>
        <v>632.22</v>
      </c>
      <c r="D11" s="272">
        <f>SUM(D7:D10)</f>
        <v>145</v>
      </c>
      <c r="E11" s="272" t="s">
        <v>7</v>
      </c>
      <c r="F11" s="272" t="s">
        <v>7</v>
      </c>
      <c r="G11" s="272" t="s">
        <v>7</v>
      </c>
      <c r="H11" s="789">
        <f>SUM(H7:H10)</f>
        <v>1417.4590191299999</v>
      </c>
    </row>
    <row r="12" spans="1:14" s="287" customFormat="1">
      <c r="A12" s="284"/>
      <c r="B12" s="285"/>
      <c r="C12" s="286"/>
      <c r="D12" s="286"/>
      <c r="E12" s="286"/>
      <c r="F12" s="286"/>
      <c r="G12" s="286"/>
      <c r="H12" s="286"/>
    </row>
    <row r="13" spans="1:14" s="227" customFormat="1">
      <c r="B13" s="148" t="s">
        <v>82</v>
      </c>
      <c r="C13" s="148"/>
      <c r="D13" s="148"/>
      <c r="E13" s="148"/>
      <c r="F13" s="148"/>
      <c r="G13" s="148"/>
      <c r="H13" s="148"/>
      <c r="M13" s="148"/>
      <c r="N13" s="148"/>
    </row>
    <row r="14" spans="1:14" s="227" customFormat="1" ht="29.25" customHeight="1">
      <c r="B14" s="830" t="s">
        <v>79</v>
      </c>
      <c r="C14" s="831"/>
      <c r="D14" s="228" t="s">
        <v>83</v>
      </c>
      <c r="E14" s="229" t="s">
        <v>84</v>
      </c>
      <c r="F14" s="229" t="s">
        <v>85</v>
      </c>
      <c r="G14" s="229" t="s">
        <v>86</v>
      </c>
      <c r="H14" s="229" t="s">
        <v>87</v>
      </c>
      <c r="M14" s="148"/>
      <c r="N14" s="148"/>
    </row>
    <row r="15" spans="1:14" s="227" customFormat="1" ht="14.25">
      <c r="B15" s="832"/>
      <c r="C15" s="833"/>
      <c r="D15" s="229"/>
      <c r="E15" s="229"/>
      <c r="F15" s="229"/>
      <c r="G15" s="229"/>
      <c r="H15" s="232">
        <f>SUM(D15:G15)</f>
        <v>0</v>
      </c>
      <c r="M15" s="148"/>
      <c r="N15" s="148"/>
    </row>
    <row r="16" spans="1:14" s="227" customFormat="1" ht="30.75" customHeight="1">
      <c r="B16" s="834" t="s">
        <v>234</v>
      </c>
      <c r="C16" s="835"/>
      <c r="D16" s="806">
        <v>14</v>
      </c>
      <c r="E16" s="804">
        <v>56</v>
      </c>
      <c r="F16" s="804">
        <v>22</v>
      </c>
      <c r="G16" s="804">
        <v>53</v>
      </c>
      <c r="H16" s="805">
        <f>SUM(D16:G16)</f>
        <v>145</v>
      </c>
      <c r="M16" s="148"/>
      <c r="N16" s="148"/>
    </row>
    <row r="17" spans="1:14" s="227" customFormat="1" ht="14.25">
      <c r="B17" s="233" t="s">
        <v>75</v>
      </c>
      <c r="C17" s="228"/>
      <c r="D17" s="234">
        <f>+D15+D16</f>
        <v>14</v>
      </c>
      <c r="E17" s="234">
        <f>+E15+E16</f>
        <v>56</v>
      </c>
      <c r="F17" s="234">
        <f>+F15+F16</f>
        <v>22</v>
      </c>
      <c r="G17" s="234">
        <f>+G15+G16</f>
        <v>53</v>
      </c>
      <c r="H17" s="234">
        <f>+H15+H16</f>
        <v>145</v>
      </c>
      <c r="M17" s="148"/>
      <c r="N17" s="148"/>
    </row>
    <row r="19" spans="1:14" ht="14.25">
      <c r="B19" s="245" t="s">
        <v>149</v>
      </c>
      <c r="C19" s="247"/>
      <c r="D19" s="247"/>
      <c r="E19" s="247"/>
      <c r="F19" s="247"/>
      <c r="G19" s="247"/>
    </row>
    <row r="20" spans="1:14">
      <c r="B20" s="247"/>
      <c r="C20" s="247"/>
      <c r="D20" s="247"/>
      <c r="E20" s="247"/>
      <c r="F20" s="247"/>
      <c r="G20" s="247"/>
    </row>
    <row r="21" spans="1:14" s="288" customFormat="1" ht="54">
      <c r="A21" s="249" t="s">
        <v>95</v>
      </c>
      <c r="B21" s="241" t="s">
        <v>106</v>
      </c>
      <c r="C21" s="241" t="s">
        <v>96</v>
      </c>
      <c r="D21" s="241" t="s">
        <v>97</v>
      </c>
      <c r="E21" s="241" t="s">
        <v>98</v>
      </c>
      <c r="F21" s="241" t="s">
        <v>99</v>
      </c>
      <c r="G21" s="241" t="s">
        <v>100</v>
      </c>
      <c r="H21" s="241" t="s">
        <v>187</v>
      </c>
      <c r="J21" s="289"/>
    </row>
    <row r="22" spans="1:14" s="147" customFormat="1" ht="58.5" customHeight="1">
      <c r="A22" s="252">
        <v>1</v>
      </c>
      <c r="B22" s="292" t="s">
        <v>138</v>
      </c>
      <c r="C22" s="293" t="s">
        <v>175</v>
      </c>
      <c r="D22" s="222" t="s">
        <v>94</v>
      </c>
      <c r="E22" s="222">
        <v>900</v>
      </c>
      <c r="F22" s="294">
        <v>20</v>
      </c>
      <c r="G22" s="295">
        <v>12</v>
      </c>
      <c r="H22" s="296">
        <f>E22*F22*G22/1000</f>
        <v>216</v>
      </c>
    </row>
    <row r="23" spans="1:14" s="147" customFormat="1" ht="58.5" customHeight="1">
      <c r="A23" s="252">
        <v>2</v>
      </c>
      <c r="B23" s="292" t="s">
        <v>139</v>
      </c>
      <c r="C23" s="293" t="s">
        <v>175</v>
      </c>
      <c r="D23" s="222" t="s">
        <v>94</v>
      </c>
      <c r="E23" s="222">
        <v>400</v>
      </c>
      <c r="F23" s="294">
        <v>20</v>
      </c>
      <c r="G23" s="295">
        <v>12</v>
      </c>
      <c r="H23" s="296">
        <f>E23*F23*G23/1000</f>
        <v>96</v>
      </c>
    </row>
    <row r="24" spans="1:14" s="147" customFormat="1" ht="58.5" customHeight="1">
      <c r="A24" s="252">
        <v>3</v>
      </c>
      <c r="B24" s="292" t="s">
        <v>188</v>
      </c>
      <c r="C24" s="293" t="s">
        <v>175</v>
      </c>
      <c r="D24" s="222" t="s">
        <v>94</v>
      </c>
      <c r="E24" s="222">
        <v>720</v>
      </c>
      <c r="F24" s="294">
        <v>20</v>
      </c>
      <c r="G24" s="295">
        <v>12</v>
      </c>
      <c r="H24" s="296">
        <f>E24*F24*G24/1000</f>
        <v>172.8</v>
      </c>
    </row>
    <row r="25" spans="1:14" ht="14.25">
      <c r="A25" s="239"/>
      <c r="B25" s="297" t="s">
        <v>75</v>
      </c>
      <c r="C25" s="239"/>
      <c r="D25" s="239"/>
      <c r="E25" s="239"/>
      <c r="F25" s="239"/>
      <c r="G25" s="290"/>
      <c r="H25" s="291">
        <f>SUM(H22:H24)</f>
        <v>484.8</v>
      </c>
    </row>
  </sheetData>
  <mergeCells count="5">
    <mergeCell ref="C1:H1"/>
    <mergeCell ref="B14:C14"/>
    <mergeCell ref="B15:C15"/>
    <mergeCell ref="B16:C16"/>
    <mergeCell ref="B2:H2"/>
  </mergeCells>
  <pageMargins left="0.39" right="0.23" top="0.98425196850393704" bottom="0.98425196850393704" header="0.511811023622047" footer="0.511811023622047"/>
  <pageSetup paperSize="9" scale="80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21"/>
  <sheetViews>
    <sheetView topLeftCell="A4" zoomScaleNormal="100" workbookViewId="0">
      <selection activeCell="D13" sqref="D13:G13"/>
    </sheetView>
  </sheetViews>
  <sheetFormatPr defaultColWidth="9.140625" defaultRowHeight="13.5"/>
  <cols>
    <col min="1" max="1" width="3.42578125" style="302" customWidth="1"/>
    <col min="2" max="2" width="14.5703125" style="302" customWidth="1"/>
    <col min="3" max="3" width="33.7109375" style="302" customWidth="1"/>
    <col min="4" max="7" width="9.140625" style="302"/>
    <col min="8" max="8" width="11.5703125" style="302" customWidth="1"/>
    <col min="9" max="16384" width="9.140625" style="302"/>
  </cols>
  <sheetData>
    <row r="1" spans="1:14" s="204" customFormat="1" ht="30.75" customHeight="1" thickBot="1">
      <c r="B1" s="205" t="s">
        <v>141</v>
      </c>
      <c r="C1" s="298" t="s">
        <v>235</v>
      </c>
      <c r="D1" s="207"/>
      <c r="E1" s="207"/>
      <c r="F1" s="207"/>
      <c r="G1" s="257"/>
      <c r="H1" s="258"/>
    </row>
    <row r="2" spans="1:14" s="259" customFormat="1" ht="31.5" customHeight="1">
      <c r="A2" s="210"/>
      <c r="B2" s="836" t="s">
        <v>150</v>
      </c>
      <c r="C2" s="836"/>
      <c r="D2" s="836"/>
      <c r="E2" s="836"/>
      <c r="F2" s="836"/>
      <c r="G2" s="836"/>
      <c r="H2" s="836"/>
    </row>
    <row r="3" spans="1:14" s="262" customFormat="1">
      <c r="A3" s="260"/>
      <c r="B3" s="261"/>
      <c r="C3" s="261"/>
      <c r="D3" s="261"/>
      <c r="E3" s="261"/>
      <c r="F3" s="261"/>
      <c r="G3" s="261"/>
      <c r="H3" s="261"/>
    </row>
    <row r="4" spans="1:14" s="301" customFormat="1" ht="94.5">
      <c r="A4" s="299" t="s">
        <v>34</v>
      </c>
      <c r="B4" s="267" t="s">
        <v>89</v>
      </c>
      <c r="C4" s="268" t="s">
        <v>112</v>
      </c>
      <c r="D4" s="268" t="s">
        <v>142</v>
      </c>
      <c r="E4" s="268" t="s">
        <v>143</v>
      </c>
      <c r="F4" s="268" t="s">
        <v>113</v>
      </c>
      <c r="G4" s="268" t="s">
        <v>144</v>
      </c>
      <c r="H4" s="268" t="s">
        <v>145</v>
      </c>
      <c r="I4" s="300"/>
    </row>
    <row r="5" spans="1:14" s="301" customFormat="1" ht="25.5">
      <c r="A5" s="169">
        <v>1</v>
      </c>
      <c r="B5" s="170">
        <v>2</v>
      </c>
      <c r="C5" s="170">
        <v>4</v>
      </c>
      <c r="D5" s="170">
        <v>5</v>
      </c>
      <c r="E5" s="170">
        <v>6</v>
      </c>
      <c r="F5" s="170">
        <v>7</v>
      </c>
      <c r="G5" s="170">
        <v>8</v>
      </c>
      <c r="H5" s="170" t="s">
        <v>32</v>
      </c>
      <c r="I5" s="300"/>
    </row>
    <row r="6" spans="1:14" s="301" customFormat="1">
      <c r="A6" s="271"/>
      <c r="B6" s="272"/>
      <c r="C6" s="272"/>
      <c r="D6" s="271"/>
      <c r="E6" s="272"/>
      <c r="F6" s="271"/>
      <c r="G6" s="272"/>
      <c r="H6" s="273"/>
      <c r="I6" s="300"/>
    </row>
    <row r="7" spans="1:14" ht="21" customHeight="1">
      <c r="A7" s="169">
        <v>1</v>
      </c>
      <c r="B7" s="171" t="s">
        <v>146</v>
      </c>
      <c r="C7" s="735">
        <v>243.4</v>
      </c>
      <c r="D7" s="172">
        <f>55+3</f>
        <v>58</v>
      </c>
      <c r="E7" s="521">
        <v>252</v>
      </c>
      <c r="F7" s="172">
        <v>200.47</v>
      </c>
      <c r="G7" s="172">
        <f>30/1000</f>
        <v>0.03</v>
      </c>
      <c r="H7" s="625">
        <f>(D7+C7/0.8)*E7*F7*G7/1000</f>
        <v>549.00914670000009</v>
      </c>
    </row>
    <row r="8" spans="1:14" ht="21" customHeight="1">
      <c r="A8" s="169">
        <v>2</v>
      </c>
      <c r="B8" s="171" t="s">
        <v>147</v>
      </c>
      <c r="C8" s="735">
        <v>155.9</v>
      </c>
      <c r="D8" s="172">
        <f>45+2</f>
        <v>47</v>
      </c>
      <c r="E8" s="773">
        <v>252</v>
      </c>
      <c r="F8" s="172">
        <v>200.47</v>
      </c>
      <c r="G8" s="172">
        <f>30/1000</f>
        <v>0.03</v>
      </c>
      <c r="H8" s="625">
        <f>(D8+C8/0.8)*E8*F8*G8/1000</f>
        <v>366.57443025000003</v>
      </c>
    </row>
    <row r="9" spans="1:14" ht="21" customHeight="1">
      <c r="A9" s="169"/>
      <c r="B9" s="173" t="s">
        <v>75</v>
      </c>
      <c r="C9" s="203">
        <f>SUM(C7:C8)</f>
        <v>399.3</v>
      </c>
      <c r="D9" s="172">
        <f>SUM(D7:D8)</f>
        <v>105</v>
      </c>
      <c r="E9" s="172" t="s">
        <v>7</v>
      </c>
      <c r="F9" s="172" t="s">
        <v>7</v>
      </c>
      <c r="G9" s="172" t="s">
        <v>7</v>
      </c>
      <c r="H9" s="625">
        <f>SUM(H7:H8)</f>
        <v>915.58357695000018</v>
      </c>
    </row>
    <row r="10" spans="1:14" s="301" customFormat="1">
      <c r="A10" s="303"/>
      <c r="B10" s="303"/>
      <c r="C10" s="303"/>
      <c r="D10" s="303"/>
      <c r="E10" s="303"/>
      <c r="F10" s="303"/>
      <c r="G10" s="303"/>
      <c r="H10" s="303"/>
      <c r="I10" s="304"/>
      <c r="J10" s="304"/>
    </row>
    <row r="11" spans="1:14" s="227" customFormat="1">
      <c r="B11" s="148" t="s">
        <v>82</v>
      </c>
      <c r="C11" s="148"/>
      <c r="D11" s="148"/>
      <c r="E11" s="148"/>
      <c r="F11" s="148"/>
      <c r="G11" s="148"/>
      <c r="H11" s="148"/>
      <c r="M11" s="148"/>
      <c r="N11" s="148"/>
    </row>
    <row r="12" spans="1:14" s="227" customFormat="1" ht="29.25" customHeight="1">
      <c r="B12" s="830" t="s">
        <v>79</v>
      </c>
      <c r="C12" s="831"/>
      <c r="D12" s="228" t="s">
        <v>83</v>
      </c>
      <c r="E12" s="229" t="s">
        <v>84</v>
      </c>
      <c r="F12" s="229" t="s">
        <v>85</v>
      </c>
      <c r="G12" s="229" t="s">
        <v>86</v>
      </c>
      <c r="H12" s="229" t="s">
        <v>87</v>
      </c>
      <c r="M12" s="148"/>
      <c r="N12" s="148"/>
    </row>
    <row r="13" spans="1:14" s="227" customFormat="1" ht="27.75" customHeight="1">
      <c r="B13" s="834" t="s">
        <v>235</v>
      </c>
      <c r="C13" s="835"/>
      <c r="D13" s="806">
        <v>11</v>
      </c>
      <c r="E13" s="804">
        <v>43</v>
      </c>
      <c r="F13" s="804">
        <v>19</v>
      </c>
      <c r="G13" s="804">
        <v>32</v>
      </c>
      <c r="H13" s="805">
        <f>SUM(D13:G13)</f>
        <v>105</v>
      </c>
      <c r="M13" s="148"/>
      <c r="N13" s="148"/>
    </row>
    <row r="14" spans="1:14" s="227" customFormat="1" ht="14.25">
      <c r="B14" s="233" t="s">
        <v>75</v>
      </c>
      <c r="C14" s="228"/>
      <c r="D14" s="234">
        <f>+D13</f>
        <v>11</v>
      </c>
      <c r="E14" s="234">
        <f t="shared" ref="E14:H14" si="0">+E13</f>
        <v>43</v>
      </c>
      <c r="F14" s="234">
        <f t="shared" si="0"/>
        <v>19</v>
      </c>
      <c r="G14" s="234">
        <f t="shared" si="0"/>
        <v>32</v>
      </c>
      <c r="H14" s="234">
        <f t="shared" si="0"/>
        <v>105</v>
      </c>
      <c r="M14" s="148"/>
      <c r="N14" s="148"/>
    </row>
    <row r="15" spans="1:14">
      <c r="A15" s="305"/>
      <c r="B15" s="305"/>
      <c r="C15" s="305"/>
      <c r="D15" s="305"/>
      <c r="E15" s="305"/>
      <c r="F15" s="305"/>
      <c r="G15" s="305"/>
      <c r="H15" s="305"/>
      <c r="I15" s="269"/>
      <c r="J15" s="269"/>
    </row>
    <row r="16" spans="1:14" ht="14.25">
      <c r="B16" s="245" t="s">
        <v>149</v>
      </c>
      <c r="C16" s="305"/>
      <c r="D16" s="305"/>
      <c r="E16" s="305"/>
      <c r="F16" s="305"/>
      <c r="G16" s="305"/>
      <c r="H16" s="305"/>
      <c r="I16" s="269"/>
      <c r="J16" s="269"/>
    </row>
    <row r="17" spans="1:10">
      <c r="A17" s="306"/>
      <c r="B17" s="168"/>
      <c r="C17" s="307"/>
      <c r="D17" s="307"/>
      <c r="E17" s="307"/>
      <c r="F17" s="307"/>
      <c r="G17" s="307"/>
      <c r="H17" s="307"/>
      <c r="I17" s="308"/>
      <c r="J17" s="308"/>
    </row>
    <row r="18" spans="1:10" ht="72.75" customHeight="1">
      <c r="A18" s="312" t="s">
        <v>34</v>
      </c>
      <c r="B18" s="310" t="s">
        <v>106</v>
      </c>
      <c r="C18" s="311" t="s">
        <v>96</v>
      </c>
      <c r="D18" s="311" t="s">
        <v>97</v>
      </c>
      <c r="E18" s="311" t="s">
        <v>107</v>
      </c>
      <c r="F18" s="311" t="s">
        <v>108</v>
      </c>
      <c r="G18" s="311" t="s">
        <v>109</v>
      </c>
      <c r="H18" s="311" t="s">
        <v>101</v>
      </c>
      <c r="I18" s="270"/>
      <c r="J18" s="270"/>
    </row>
    <row r="19" spans="1:10" ht="92.25" customHeight="1">
      <c r="A19" s="313">
        <v>1</v>
      </c>
      <c r="B19" s="314" t="s">
        <v>127</v>
      </c>
      <c r="C19" s="293" t="s">
        <v>175</v>
      </c>
      <c r="D19" s="222" t="s">
        <v>94</v>
      </c>
      <c r="E19" s="314">
        <v>720</v>
      </c>
      <c r="F19" s="314">
        <v>20</v>
      </c>
      <c r="G19" s="314">
        <v>12</v>
      </c>
      <c r="H19" s="314">
        <f>E19*F19*G19/1000</f>
        <v>172.8</v>
      </c>
      <c r="I19" s="309"/>
      <c r="J19" s="309"/>
    </row>
    <row r="20" spans="1:10" ht="92.25" customHeight="1">
      <c r="A20" s="313">
        <v>2</v>
      </c>
      <c r="B20" s="314" t="s">
        <v>128</v>
      </c>
      <c r="C20" s="293" t="s">
        <v>175</v>
      </c>
      <c r="D20" s="222" t="s">
        <v>94</v>
      </c>
      <c r="E20" s="314">
        <v>750</v>
      </c>
      <c r="F20" s="314">
        <v>20</v>
      </c>
      <c r="G20" s="314">
        <v>12</v>
      </c>
      <c r="H20" s="314">
        <f>E20*F20*G20/1000</f>
        <v>180</v>
      </c>
      <c r="I20" s="270"/>
      <c r="J20" s="270"/>
    </row>
    <row r="21" spans="1:10" ht="14.25">
      <c r="A21" s="313"/>
      <c r="B21" s="315" t="s">
        <v>75</v>
      </c>
      <c r="C21" s="316"/>
      <c r="D21" s="316"/>
      <c r="E21" s="316"/>
      <c r="F21" s="316"/>
      <c r="G21" s="316"/>
      <c r="H21" s="317">
        <f>SUM(H19:H20)</f>
        <v>352.8</v>
      </c>
      <c r="I21" s="309"/>
      <c r="J21" s="309"/>
    </row>
  </sheetData>
  <mergeCells count="3">
    <mergeCell ref="B12:C12"/>
    <mergeCell ref="B13:C13"/>
    <mergeCell ref="B2:H2"/>
  </mergeCells>
  <pageMargins left="0.54" right="0.25" top="0.59" bottom="1" header="0.5" footer="0.5"/>
  <pageSetup paperSize="9" scale="93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27"/>
  <sheetViews>
    <sheetView zoomScaleNormal="100" workbookViewId="0">
      <selection activeCell="E13" sqref="E13"/>
    </sheetView>
  </sheetViews>
  <sheetFormatPr defaultColWidth="9.140625" defaultRowHeight="17.25"/>
  <cols>
    <col min="1" max="1" width="3.28515625" style="323" customWidth="1"/>
    <col min="2" max="2" width="23.85546875" style="323" customWidth="1"/>
    <col min="3" max="3" width="39" style="323" customWidth="1"/>
    <col min="4" max="4" width="8.28515625" style="323" customWidth="1"/>
    <col min="5" max="5" width="7.5703125" style="323" customWidth="1"/>
    <col min="6" max="6" width="8.140625" style="323" customWidth="1"/>
    <col min="7" max="7" width="13" style="323" customWidth="1"/>
    <col min="8" max="8" width="9.85546875" style="323" customWidth="1"/>
    <col min="9" max="9" width="10.42578125" style="323" customWidth="1"/>
    <col min="10" max="16384" width="9.140625" style="323"/>
  </cols>
  <sheetData>
    <row r="1" spans="1:14" s="204" customFormat="1" ht="30.75" customHeight="1" thickBot="1">
      <c r="B1" s="205" t="s">
        <v>141</v>
      </c>
      <c r="C1" s="298" t="s">
        <v>236</v>
      </c>
      <c r="D1" s="207"/>
      <c r="E1" s="207"/>
      <c r="F1" s="207"/>
      <c r="G1" s="257"/>
      <c r="H1" s="258"/>
    </row>
    <row r="2" spans="1:14" s="259" customFormat="1" ht="30" customHeight="1">
      <c r="A2" s="210"/>
      <c r="B2" s="836" t="s">
        <v>150</v>
      </c>
      <c r="C2" s="836"/>
      <c r="D2" s="836"/>
      <c r="E2" s="836"/>
      <c r="F2" s="836"/>
      <c r="G2" s="836"/>
      <c r="H2" s="836"/>
    </row>
    <row r="3" spans="1:14" s="262" customFormat="1" ht="13.5">
      <c r="A3" s="260"/>
      <c r="B3" s="261"/>
      <c r="C3" s="261"/>
      <c r="D3" s="261"/>
      <c r="E3" s="261"/>
      <c r="F3" s="261"/>
      <c r="G3" s="261"/>
      <c r="H3" s="261"/>
    </row>
    <row r="4" spans="1:14" s="318" customFormat="1" ht="99.75">
      <c r="A4" s="332"/>
      <c r="B4" s="333" t="s">
        <v>89</v>
      </c>
      <c r="C4" s="334" t="s">
        <v>112</v>
      </c>
      <c r="D4" s="334" t="s">
        <v>91</v>
      </c>
      <c r="E4" s="334" t="s">
        <v>92</v>
      </c>
      <c r="F4" s="334" t="s">
        <v>113</v>
      </c>
      <c r="G4" s="334" t="s">
        <v>114</v>
      </c>
      <c r="H4" s="334" t="s">
        <v>115</v>
      </c>
    </row>
    <row r="5" spans="1:14" s="318" customFormat="1" ht="14.25">
      <c r="A5" s="335"/>
      <c r="B5" s="336"/>
      <c r="C5" s="336"/>
      <c r="D5" s="335"/>
      <c r="E5" s="336"/>
      <c r="F5" s="335"/>
      <c r="G5" s="336"/>
      <c r="H5" s="336"/>
    </row>
    <row r="6" spans="1:14" s="318" customFormat="1" ht="14.25">
      <c r="A6" s="335"/>
      <c r="B6" s="336"/>
      <c r="C6" s="336"/>
      <c r="D6" s="335"/>
      <c r="E6" s="336"/>
      <c r="F6" s="335"/>
      <c r="G6" s="336"/>
      <c r="H6" s="337"/>
    </row>
    <row r="7" spans="1:14" s="318" customFormat="1" ht="13.5">
      <c r="A7" s="338">
        <v>1</v>
      </c>
      <c r="B7" s="339" t="s">
        <v>189</v>
      </c>
      <c r="C7" s="736">
        <v>122</v>
      </c>
      <c r="D7" s="338">
        <v>30</v>
      </c>
      <c r="E7" s="521">
        <v>252</v>
      </c>
      <c r="F7" s="220">
        <v>200.47</v>
      </c>
      <c r="G7" s="338">
        <f>30/1000</f>
        <v>0.03</v>
      </c>
      <c r="H7" s="790">
        <f>(D7+C7/0.8)*E7*F7*G7/1000</f>
        <v>276.58845900000006</v>
      </c>
    </row>
    <row r="8" spans="1:14" s="318" customFormat="1" ht="13.5">
      <c r="A8" s="338">
        <v>2</v>
      </c>
      <c r="B8" s="340" t="s">
        <v>190</v>
      </c>
      <c r="C8" s="737">
        <f>101.9+196</f>
        <v>297.89999999999998</v>
      </c>
      <c r="D8" s="235">
        <v>29</v>
      </c>
      <c r="E8" s="773">
        <v>252</v>
      </c>
      <c r="F8" s="220">
        <v>200.47</v>
      </c>
      <c r="G8" s="338">
        <f>30/1000</f>
        <v>0.03</v>
      </c>
      <c r="H8" s="790">
        <f>(D8+C8/0.8)*E8*F8*G8/1000</f>
        <v>608.30516564999982</v>
      </c>
    </row>
    <row r="9" spans="1:14" s="318" customFormat="1" ht="13.5">
      <c r="A9" s="338">
        <v>3</v>
      </c>
      <c r="B9" s="340" t="s">
        <v>191</v>
      </c>
      <c r="C9" s="737">
        <v>240.6</v>
      </c>
      <c r="D9" s="235">
        <v>28</v>
      </c>
      <c r="E9" s="773">
        <v>252</v>
      </c>
      <c r="F9" s="220">
        <v>200.47</v>
      </c>
      <c r="G9" s="338">
        <f>30/1000</f>
        <v>0.03</v>
      </c>
      <c r="H9" s="790">
        <f>(D9+C9/0.8)*E9*F9*G9/1000</f>
        <v>498.23811449999999</v>
      </c>
    </row>
    <row r="10" spans="1:14" s="318" customFormat="1" ht="13.5">
      <c r="A10" s="338">
        <v>4</v>
      </c>
      <c r="B10" s="340" t="s">
        <v>192</v>
      </c>
      <c r="C10" s="737">
        <v>294</v>
      </c>
      <c r="D10" s="235">
        <v>43</v>
      </c>
      <c r="E10" s="773">
        <v>252</v>
      </c>
      <c r="F10" s="220">
        <v>200.47</v>
      </c>
      <c r="G10" s="338">
        <f>30/1000</f>
        <v>0.03</v>
      </c>
      <c r="H10" s="790">
        <f>(D10+C10/0.8)*E10*F10*G10/1000</f>
        <v>622.13458860000003</v>
      </c>
    </row>
    <row r="11" spans="1:14" s="318" customFormat="1" ht="13.5">
      <c r="A11" s="338"/>
      <c r="B11" s="340"/>
      <c r="C11" s="341"/>
      <c r="D11" s="235"/>
      <c r="E11" s="342"/>
      <c r="F11" s="337"/>
      <c r="G11" s="337"/>
      <c r="H11" s="791"/>
      <c r="I11" s="319"/>
    </row>
    <row r="12" spans="1:14" s="319" customFormat="1" ht="14.25">
      <c r="A12" s="335"/>
      <c r="B12" s="343" t="s">
        <v>75</v>
      </c>
      <c r="C12" s="417">
        <f>SUM(C7:C10)</f>
        <v>954.5</v>
      </c>
      <c r="D12" s="416">
        <f>SUM(D7:D10)</f>
        <v>130</v>
      </c>
      <c r="E12" s="336" t="s">
        <v>7</v>
      </c>
      <c r="F12" s="336" t="s">
        <v>7</v>
      </c>
      <c r="G12" s="336" t="s">
        <v>7</v>
      </c>
      <c r="H12" s="396">
        <f>SUM(H7:H11)</f>
        <v>2005.2663277500001</v>
      </c>
    </row>
    <row r="13" spans="1:14" ht="16.5" customHeight="1">
      <c r="A13" s="320"/>
      <c r="B13" s="321"/>
      <c r="C13" s="322"/>
      <c r="D13" s="320"/>
      <c r="F13" s="322"/>
      <c r="G13" s="322"/>
      <c r="H13" s="322"/>
      <c r="I13" s="324"/>
    </row>
    <row r="14" spans="1:14" s="227" customFormat="1" ht="13.5">
      <c r="B14" s="148" t="s">
        <v>82</v>
      </c>
      <c r="C14" s="148"/>
      <c r="D14" s="148"/>
      <c r="E14" s="148"/>
      <c r="F14" s="148"/>
      <c r="G14" s="148"/>
      <c r="H14" s="148"/>
      <c r="M14" s="148"/>
      <c r="N14" s="148"/>
    </row>
    <row r="15" spans="1:14" s="227" customFormat="1" ht="29.25" customHeight="1">
      <c r="B15" s="830" t="s">
        <v>79</v>
      </c>
      <c r="C15" s="831"/>
      <c r="D15" s="228" t="s">
        <v>83</v>
      </c>
      <c r="E15" s="229" t="s">
        <v>84</v>
      </c>
      <c r="F15" s="229" t="s">
        <v>85</v>
      </c>
      <c r="G15" s="229" t="s">
        <v>86</v>
      </c>
      <c r="H15" s="229" t="s">
        <v>87</v>
      </c>
      <c r="M15" s="148"/>
      <c r="N15" s="148"/>
    </row>
    <row r="16" spans="1:14" s="227" customFormat="1" ht="14.25">
      <c r="B16" s="837"/>
      <c r="C16" s="838"/>
      <c r="D16" s="229"/>
      <c r="E16" s="229"/>
      <c r="F16" s="229"/>
      <c r="G16" s="229"/>
      <c r="H16" s="232">
        <f>SUM(D16:G16)</f>
        <v>0</v>
      </c>
      <c r="M16" s="148"/>
      <c r="N16" s="148"/>
    </row>
    <row r="17" spans="1:14" s="227" customFormat="1" ht="32.25" customHeight="1">
      <c r="B17" s="834" t="s">
        <v>236</v>
      </c>
      <c r="C17" s="835"/>
      <c r="D17" s="806">
        <v>10</v>
      </c>
      <c r="E17" s="804">
        <v>42</v>
      </c>
      <c r="F17" s="804">
        <v>25</v>
      </c>
      <c r="G17" s="804">
        <v>53</v>
      </c>
      <c r="H17" s="805">
        <f>SUM(D17:G17)</f>
        <v>130</v>
      </c>
      <c r="M17" s="148"/>
      <c r="N17" s="148"/>
    </row>
    <row r="18" spans="1:14" s="227" customFormat="1" ht="14.25">
      <c r="B18" s="233" t="s">
        <v>75</v>
      </c>
      <c r="C18" s="228"/>
      <c r="D18" s="234">
        <f>+D16+D17</f>
        <v>10</v>
      </c>
      <c r="E18" s="234">
        <f>+E16+E17</f>
        <v>42</v>
      </c>
      <c r="F18" s="234">
        <f>+F16+F17</f>
        <v>25</v>
      </c>
      <c r="G18" s="234">
        <f>+G16+G17</f>
        <v>53</v>
      </c>
      <c r="H18" s="234">
        <f>+H16+H17</f>
        <v>130</v>
      </c>
      <c r="M18" s="148"/>
      <c r="N18" s="148"/>
    </row>
    <row r="19" spans="1:14" ht="19.5" customHeight="1">
      <c r="A19" s="320"/>
      <c r="B19" s="321"/>
      <c r="C19" s="322"/>
      <c r="D19" s="320"/>
      <c r="F19" s="322"/>
      <c r="G19" s="322"/>
      <c r="H19" s="322"/>
      <c r="I19" s="324"/>
    </row>
    <row r="20" spans="1:14">
      <c r="A20" s="320"/>
      <c r="B20" s="245" t="s">
        <v>149</v>
      </c>
      <c r="C20" s="322"/>
      <c r="D20" s="320"/>
      <c r="F20" s="322"/>
      <c r="G20" s="322"/>
      <c r="H20" s="322"/>
      <c r="I20" s="324"/>
    </row>
    <row r="21" spans="1:14" ht="11.25" customHeight="1"/>
    <row r="22" spans="1:14" ht="54">
      <c r="A22" s="325" t="s">
        <v>34</v>
      </c>
      <c r="B22" s="326" t="s">
        <v>106</v>
      </c>
      <c r="C22" s="326" t="s">
        <v>96</v>
      </c>
      <c r="D22" s="326" t="s">
        <v>97</v>
      </c>
      <c r="E22" s="326" t="s">
        <v>107</v>
      </c>
      <c r="F22" s="326" t="s">
        <v>108</v>
      </c>
      <c r="G22" s="326" t="s">
        <v>109</v>
      </c>
      <c r="H22" s="326" t="s">
        <v>187</v>
      </c>
    </row>
    <row r="23" spans="1:14" ht="75.75" customHeight="1">
      <c r="A23" s="325">
        <v>1</v>
      </c>
      <c r="B23" s="325" t="s">
        <v>196</v>
      </c>
      <c r="C23" s="293" t="s">
        <v>175</v>
      </c>
      <c r="D23" s="327" t="s">
        <v>94</v>
      </c>
      <c r="E23" s="325">
        <v>480</v>
      </c>
      <c r="F23" s="328">
        <v>20</v>
      </c>
      <c r="G23" s="328">
        <v>12</v>
      </c>
      <c r="H23" s="329">
        <f>E23*F23*G23/1000</f>
        <v>115.2</v>
      </c>
    </row>
    <row r="24" spans="1:14" ht="75.75" customHeight="1">
      <c r="A24" s="325">
        <v>2</v>
      </c>
      <c r="B24" s="325" t="s">
        <v>195</v>
      </c>
      <c r="C24" s="293" t="s">
        <v>175</v>
      </c>
      <c r="D24" s="327" t="s">
        <v>94</v>
      </c>
      <c r="E24" s="325">
        <v>480</v>
      </c>
      <c r="F24" s="328">
        <v>20</v>
      </c>
      <c r="G24" s="328">
        <v>12</v>
      </c>
      <c r="H24" s="329">
        <f>E24*F24*G24/1000</f>
        <v>115.2</v>
      </c>
    </row>
    <row r="25" spans="1:14" ht="75.75" customHeight="1">
      <c r="A25" s="325">
        <v>3</v>
      </c>
      <c r="B25" s="325" t="s">
        <v>194</v>
      </c>
      <c r="C25" s="293" t="s">
        <v>175</v>
      </c>
      <c r="D25" s="327" t="s">
        <v>94</v>
      </c>
      <c r="E25" s="325">
        <v>500</v>
      </c>
      <c r="F25" s="328">
        <v>20</v>
      </c>
      <c r="G25" s="328">
        <v>12</v>
      </c>
      <c r="H25" s="329">
        <f>E25*F25*G25/1000</f>
        <v>120</v>
      </c>
    </row>
    <row r="26" spans="1:14" ht="75.75" customHeight="1">
      <c r="A26" s="325">
        <v>4</v>
      </c>
      <c r="B26" s="325" t="s">
        <v>193</v>
      </c>
      <c r="C26" s="293" t="s">
        <v>175</v>
      </c>
      <c r="D26" s="327" t="s">
        <v>94</v>
      </c>
      <c r="E26" s="325">
        <v>400</v>
      </c>
      <c r="F26" s="328">
        <v>20</v>
      </c>
      <c r="G26" s="328">
        <v>12</v>
      </c>
      <c r="H26" s="329">
        <f>E26*F26*G26/1000</f>
        <v>96</v>
      </c>
    </row>
    <row r="27" spans="1:14">
      <c r="A27" s="325"/>
      <c r="B27" s="330" t="s">
        <v>75</v>
      </c>
      <c r="C27" s="325"/>
      <c r="D27" s="327"/>
      <c r="E27" s="325"/>
      <c r="F27" s="328"/>
      <c r="G27" s="328"/>
      <c r="H27" s="331">
        <f>SUM(H23:H26)</f>
        <v>446.4</v>
      </c>
    </row>
  </sheetData>
  <mergeCells count="4">
    <mergeCell ref="B15:C15"/>
    <mergeCell ref="B16:C16"/>
    <mergeCell ref="B17:C17"/>
    <mergeCell ref="B2:H2"/>
  </mergeCells>
  <pageMargins left="0.56000000000000005" right="0.27" top="0.5" bottom="0.75" header="0.3" footer="0.3"/>
  <pageSetup scale="81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26"/>
  <sheetViews>
    <sheetView zoomScaleNormal="100" workbookViewId="0">
      <selection activeCell="D16" sqref="D16:G16"/>
    </sheetView>
  </sheetViews>
  <sheetFormatPr defaultColWidth="9.140625" defaultRowHeight="13.5"/>
  <cols>
    <col min="1" max="1" width="4.28515625" style="227" customWidth="1"/>
    <col min="2" max="2" width="20.85546875" style="227" customWidth="1"/>
    <col min="3" max="3" width="34.42578125" style="227" customWidth="1"/>
    <col min="4" max="4" width="9.28515625" style="227" customWidth="1"/>
    <col min="5" max="5" width="12" style="227" customWidth="1"/>
    <col min="6" max="7" width="10.5703125" style="227" customWidth="1"/>
    <col min="8" max="8" width="11.7109375" style="227" customWidth="1"/>
    <col min="9" max="9" width="11.28515625" style="227" customWidth="1"/>
    <col min="10" max="16384" width="9.140625" style="227"/>
  </cols>
  <sheetData>
    <row r="1" spans="1:14" s="204" customFormat="1" ht="30.75" customHeight="1" thickBot="1">
      <c r="B1" s="205" t="s">
        <v>141</v>
      </c>
      <c r="C1" s="298" t="s">
        <v>237</v>
      </c>
      <c r="D1" s="207"/>
      <c r="E1" s="207"/>
      <c r="F1" s="207"/>
      <c r="G1" s="257"/>
      <c r="H1" s="258"/>
    </row>
    <row r="2" spans="1:14" s="259" customFormat="1" ht="27" customHeight="1">
      <c r="A2" s="210"/>
      <c r="B2" s="836" t="s">
        <v>150</v>
      </c>
      <c r="C2" s="836"/>
      <c r="D2" s="836"/>
      <c r="E2" s="836"/>
      <c r="F2" s="836"/>
      <c r="G2" s="836"/>
      <c r="H2" s="836"/>
    </row>
    <row r="3" spans="1:14" s="262" customFormat="1">
      <c r="A3" s="260"/>
      <c r="B3" s="261"/>
      <c r="C3" s="261"/>
      <c r="D3" s="261"/>
      <c r="E3" s="261"/>
      <c r="F3" s="261"/>
      <c r="G3" s="261"/>
      <c r="H3" s="261"/>
    </row>
    <row r="4" spans="1:14" s="318" customFormat="1" ht="99.75">
      <c r="A4" s="332"/>
      <c r="B4" s="333" t="s">
        <v>89</v>
      </c>
      <c r="C4" s="334" t="s">
        <v>112</v>
      </c>
      <c r="D4" s="334" t="s">
        <v>91</v>
      </c>
      <c r="E4" s="334" t="s">
        <v>92</v>
      </c>
      <c r="F4" s="334" t="s">
        <v>113</v>
      </c>
      <c r="G4" s="334" t="s">
        <v>114</v>
      </c>
      <c r="H4" s="334" t="s">
        <v>115</v>
      </c>
      <c r="I4" s="269"/>
      <c r="J4" s="344"/>
    </row>
    <row r="5" spans="1:14" s="318" customFormat="1" ht="28.5">
      <c r="A5" s="335">
        <v>1</v>
      </c>
      <c r="B5" s="336">
        <v>2</v>
      </c>
      <c r="C5" s="336">
        <v>4</v>
      </c>
      <c r="D5" s="335">
        <v>5</v>
      </c>
      <c r="E5" s="336">
        <v>6</v>
      </c>
      <c r="F5" s="335">
        <v>7</v>
      </c>
      <c r="G5" s="336">
        <v>8</v>
      </c>
      <c r="H5" s="336" t="s">
        <v>32</v>
      </c>
      <c r="I5" s="269"/>
      <c r="J5" s="344"/>
    </row>
    <row r="6" spans="1:14" s="318" customFormat="1" ht="14.25">
      <c r="A6" s="335"/>
      <c r="B6" s="336"/>
      <c r="C6" s="336"/>
      <c r="D6" s="335"/>
      <c r="E6" s="336"/>
      <c r="F6" s="335"/>
      <c r="G6" s="336"/>
      <c r="H6" s="337"/>
      <c r="I6" s="274"/>
      <c r="J6" s="344"/>
    </row>
    <row r="7" spans="1:14" s="318" customFormat="1">
      <c r="A7" s="338">
        <v>1</v>
      </c>
      <c r="B7" s="223" t="s">
        <v>123</v>
      </c>
      <c r="C7" s="732">
        <v>297.10000000000002</v>
      </c>
      <c r="D7" s="221">
        <f>62</f>
        <v>62</v>
      </c>
      <c r="E7" s="521">
        <v>252</v>
      </c>
      <c r="F7" s="220">
        <v>200.47</v>
      </c>
      <c r="G7" s="220">
        <f>30/1000</f>
        <v>0.03</v>
      </c>
      <c r="H7" s="790">
        <f>(D7+C7/0.8)*E7*F7*G7/1000</f>
        <v>656.80286804999992</v>
      </c>
      <c r="I7" s="274"/>
      <c r="J7" s="344"/>
    </row>
    <row r="8" spans="1:14" s="318" customFormat="1">
      <c r="A8" s="338">
        <v>2</v>
      </c>
      <c r="B8" s="223" t="s">
        <v>126</v>
      </c>
      <c r="C8" s="732">
        <f>120+58.1</f>
        <v>178.1</v>
      </c>
      <c r="D8" s="221">
        <f>25+3</f>
        <v>28</v>
      </c>
      <c r="E8" s="773">
        <v>252</v>
      </c>
      <c r="F8" s="220">
        <v>200.47</v>
      </c>
      <c r="G8" s="220">
        <f>30/1000</f>
        <v>0.03</v>
      </c>
      <c r="H8" s="790">
        <f>(D8+C8/0.8)*E8*F8*G8/1000</f>
        <v>379.83552074999994</v>
      </c>
      <c r="I8" s="274"/>
      <c r="J8" s="227"/>
    </row>
    <row r="9" spans="1:14" s="318" customFormat="1">
      <c r="A9" s="338">
        <v>3</v>
      </c>
      <c r="B9" s="223" t="s">
        <v>124</v>
      </c>
      <c r="C9" s="732">
        <v>133</v>
      </c>
      <c r="D9" s="221">
        <f>24+4+4</f>
        <v>32</v>
      </c>
      <c r="E9" s="773">
        <v>252</v>
      </c>
      <c r="F9" s="220">
        <v>200.47</v>
      </c>
      <c r="G9" s="220">
        <f>30/1000</f>
        <v>0.03</v>
      </c>
      <c r="H9" s="790">
        <f>(D9+C9/0.8)*E9*F9*G9/1000</f>
        <v>300.45842190000002</v>
      </c>
      <c r="I9" s="274"/>
      <c r="J9" s="227"/>
    </row>
    <row r="10" spans="1:14" s="318" customFormat="1">
      <c r="A10" s="338">
        <v>4</v>
      </c>
      <c r="B10" s="223" t="s">
        <v>125</v>
      </c>
      <c r="C10" s="732">
        <f>100.8+50</f>
        <v>150.80000000000001</v>
      </c>
      <c r="D10" s="221">
        <f>24+3+4</f>
        <v>31</v>
      </c>
      <c r="E10" s="773">
        <v>252</v>
      </c>
      <c r="F10" s="220">
        <v>200.47</v>
      </c>
      <c r="G10" s="220">
        <f>30/1000</f>
        <v>0.03</v>
      </c>
      <c r="H10" s="790">
        <f>(D10+C10/0.8)*E10*F10*G10/1000</f>
        <v>332.66392739999998</v>
      </c>
      <c r="I10" s="346"/>
      <c r="J10" s="227"/>
    </row>
    <row r="11" spans="1:14" s="319" customFormat="1" ht="14.25">
      <c r="A11" s="335"/>
      <c r="B11" s="343" t="s">
        <v>75</v>
      </c>
      <c r="C11" s="396">
        <f>SUM(C7:C10)</f>
        <v>759</v>
      </c>
      <c r="D11" s="416">
        <f>SUM(D7:D10)</f>
        <v>153</v>
      </c>
      <c r="E11" s="336" t="s">
        <v>7</v>
      </c>
      <c r="F11" s="336" t="s">
        <v>7</v>
      </c>
      <c r="G11" s="336" t="s">
        <v>7</v>
      </c>
      <c r="H11" s="396">
        <f>SUM(H7:H10)</f>
        <v>1669.7607380999998</v>
      </c>
    </row>
    <row r="13" spans="1:14">
      <c r="B13" s="148" t="s">
        <v>82</v>
      </c>
      <c r="C13" s="148"/>
      <c r="D13" s="148"/>
      <c r="E13" s="148"/>
      <c r="F13" s="148"/>
      <c r="G13" s="148"/>
      <c r="H13" s="148"/>
      <c r="M13" s="148"/>
      <c r="N13" s="148"/>
    </row>
    <row r="14" spans="1:14" ht="29.25" customHeight="1">
      <c r="B14" s="830" t="s">
        <v>79</v>
      </c>
      <c r="C14" s="831"/>
      <c r="D14" s="228" t="s">
        <v>83</v>
      </c>
      <c r="E14" s="229" t="s">
        <v>84</v>
      </c>
      <c r="F14" s="229" t="s">
        <v>85</v>
      </c>
      <c r="G14" s="229" t="s">
        <v>86</v>
      </c>
      <c r="H14" s="229" t="s">
        <v>87</v>
      </c>
      <c r="M14" s="148"/>
      <c r="N14" s="148"/>
    </row>
    <row r="15" spans="1:14" ht="14.25">
      <c r="B15" s="837"/>
      <c r="C15" s="838"/>
      <c r="D15" s="229"/>
      <c r="E15" s="229"/>
      <c r="F15" s="229"/>
      <c r="G15" s="229"/>
      <c r="H15" s="232">
        <f>SUM(D15:G15)</f>
        <v>0</v>
      </c>
      <c r="M15" s="148"/>
      <c r="N15" s="148"/>
    </row>
    <row r="16" spans="1:14" ht="28.5" customHeight="1">
      <c r="B16" s="834" t="s">
        <v>237</v>
      </c>
      <c r="C16" s="835"/>
      <c r="D16" s="806">
        <v>14</v>
      </c>
      <c r="E16" s="804">
        <v>55</v>
      </c>
      <c r="F16" s="804">
        <v>29</v>
      </c>
      <c r="G16" s="804">
        <v>55</v>
      </c>
      <c r="H16" s="805">
        <f>SUM(D16:G16)</f>
        <v>153</v>
      </c>
      <c r="M16" s="148"/>
      <c r="N16" s="148"/>
    </row>
    <row r="17" spans="1:14" ht="14.25">
      <c r="B17" s="233" t="s">
        <v>75</v>
      </c>
      <c r="C17" s="228"/>
      <c r="D17" s="234">
        <f>+D15+D16</f>
        <v>14</v>
      </c>
      <c r="E17" s="234">
        <f>+E15+E16</f>
        <v>55</v>
      </c>
      <c r="F17" s="234">
        <f>+F15+F16</f>
        <v>29</v>
      </c>
      <c r="G17" s="234">
        <f>+G15+G16</f>
        <v>55</v>
      </c>
      <c r="H17" s="234">
        <f>+H15+H16</f>
        <v>153</v>
      </c>
      <c r="M17" s="148"/>
      <c r="N17" s="148"/>
    </row>
    <row r="19" spans="1:14" s="349" customFormat="1" ht="14.25">
      <c r="A19" s="347"/>
      <c r="B19" s="245" t="s">
        <v>149</v>
      </c>
      <c r="C19" s="348"/>
      <c r="D19" s="348"/>
      <c r="E19" s="348"/>
      <c r="F19" s="348"/>
      <c r="G19" s="348"/>
      <c r="H19" s="348"/>
    </row>
    <row r="20" spans="1:14" ht="13.5" customHeight="1">
      <c r="C20" s="246"/>
      <c r="D20" s="246"/>
      <c r="E20" s="246"/>
      <c r="F20" s="246"/>
      <c r="G20" s="246"/>
      <c r="H20" s="246"/>
    </row>
    <row r="21" spans="1:14" ht="67.5">
      <c r="A21" s="255" t="s">
        <v>63</v>
      </c>
      <c r="B21" s="255" t="s">
        <v>106</v>
      </c>
      <c r="C21" s="255" t="s">
        <v>96</v>
      </c>
      <c r="D21" s="249" t="s">
        <v>97</v>
      </c>
      <c r="E21" s="249" t="s">
        <v>107</v>
      </c>
      <c r="F21" s="249" t="s">
        <v>120</v>
      </c>
      <c r="G21" s="249" t="s">
        <v>121</v>
      </c>
      <c r="H21" s="249" t="s">
        <v>122</v>
      </c>
    </row>
    <row r="22" spans="1:14" ht="81">
      <c r="A22" s="220">
        <v>1</v>
      </c>
      <c r="B22" s="223" t="s">
        <v>123</v>
      </c>
      <c r="C22" s="225" t="s">
        <v>175</v>
      </c>
      <c r="D22" s="251" t="s">
        <v>94</v>
      </c>
      <c r="E22" s="251">
        <v>750</v>
      </c>
      <c r="F22" s="251">
        <v>20</v>
      </c>
      <c r="G22" s="251">
        <v>12</v>
      </c>
      <c r="H22" s="251">
        <f>E22*F22*G22/1000</f>
        <v>180</v>
      </c>
    </row>
    <row r="23" spans="1:14" ht="81">
      <c r="A23" s="220">
        <v>2</v>
      </c>
      <c r="B23" s="223" t="s">
        <v>126</v>
      </c>
      <c r="C23" s="225" t="s">
        <v>175</v>
      </c>
      <c r="D23" s="251" t="s">
        <v>94</v>
      </c>
      <c r="E23" s="251">
        <v>540</v>
      </c>
      <c r="F23" s="251">
        <v>20</v>
      </c>
      <c r="G23" s="251">
        <v>12</v>
      </c>
      <c r="H23" s="251">
        <f>E23*F23*G23/1000</f>
        <v>129.6</v>
      </c>
    </row>
    <row r="24" spans="1:14" ht="81">
      <c r="A24" s="220">
        <v>3</v>
      </c>
      <c r="B24" s="223" t="s">
        <v>124</v>
      </c>
      <c r="C24" s="225" t="s">
        <v>175</v>
      </c>
      <c r="D24" s="251" t="s">
        <v>94</v>
      </c>
      <c r="E24" s="251">
        <v>540</v>
      </c>
      <c r="F24" s="251">
        <v>20</v>
      </c>
      <c r="G24" s="251">
        <v>12</v>
      </c>
      <c r="H24" s="251">
        <f>E24*F24*G24/1000</f>
        <v>129.6</v>
      </c>
    </row>
    <row r="25" spans="1:14" ht="81">
      <c r="A25" s="220">
        <v>4</v>
      </c>
      <c r="B25" s="223" t="s">
        <v>125</v>
      </c>
      <c r="C25" s="225" t="s">
        <v>175</v>
      </c>
      <c r="D25" s="251" t="s">
        <v>94</v>
      </c>
      <c r="E25" s="251">
        <v>540</v>
      </c>
      <c r="F25" s="251">
        <v>20</v>
      </c>
      <c r="G25" s="251">
        <v>12</v>
      </c>
      <c r="H25" s="251">
        <f>E25*F25*G25/1000</f>
        <v>129.6</v>
      </c>
    </row>
    <row r="26" spans="1:14" ht="14.25">
      <c r="A26" s="220"/>
      <c r="B26" s="239"/>
      <c r="C26" s="297" t="s">
        <v>75</v>
      </c>
      <c r="D26" s="251"/>
      <c r="E26" s="251"/>
      <c r="F26" s="251"/>
      <c r="G26" s="251"/>
      <c r="H26" s="350">
        <f>SUM(H22:H25)</f>
        <v>568.80000000000007</v>
      </c>
    </row>
  </sheetData>
  <mergeCells count="4">
    <mergeCell ref="B14:C14"/>
    <mergeCell ref="B15:C15"/>
    <mergeCell ref="B16:C16"/>
    <mergeCell ref="B2:H2"/>
  </mergeCells>
  <pageMargins left="0.38" right="0.31" top="0.34" bottom="0.28999999999999998" header="0.26" footer="0.15"/>
  <pageSetup scale="83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I44"/>
  <sheetViews>
    <sheetView topLeftCell="A7" zoomScaleNormal="100" workbookViewId="0">
      <selection activeCell="H15" sqref="H15"/>
    </sheetView>
  </sheetViews>
  <sheetFormatPr defaultColWidth="9.140625" defaultRowHeight="17.25"/>
  <cols>
    <col min="1" max="1" width="5.5703125" style="640" customWidth="1"/>
    <col min="2" max="2" width="30" style="640" customWidth="1"/>
    <col min="3" max="3" width="14.5703125" style="640" customWidth="1"/>
    <col min="4" max="4" width="10.7109375" style="640" customWidth="1"/>
    <col min="5" max="5" width="12" style="640" customWidth="1"/>
    <col min="6" max="6" width="11.42578125" style="640" customWidth="1"/>
    <col min="7" max="7" width="12.5703125" style="640" customWidth="1"/>
    <col min="8" max="9" width="11.85546875" style="640" customWidth="1"/>
    <col min="10" max="16384" width="9.140625" style="640"/>
  </cols>
  <sheetData>
    <row r="1" spans="1:9" s="506" customFormat="1" ht="18" thickBot="1">
      <c r="B1" s="507" t="s">
        <v>141</v>
      </c>
      <c r="C1" s="508" t="s">
        <v>227</v>
      </c>
      <c r="D1" s="509"/>
      <c r="E1" s="509"/>
      <c r="F1" s="510"/>
      <c r="G1" s="511"/>
    </row>
    <row r="2" spans="1:9" s="585" customFormat="1" ht="31.5" customHeight="1">
      <c r="A2" s="512"/>
      <c r="B2" s="513" t="s">
        <v>150</v>
      </c>
      <c r="C2" s="514"/>
      <c r="D2" s="514"/>
      <c r="E2" s="514"/>
      <c r="F2" s="514"/>
      <c r="G2" s="514"/>
      <c r="H2" s="514"/>
      <c r="I2" s="515"/>
    </row>
    <row r="3" spans="1:9" s="517" customFormat="1" ht="12" customHeight="1">
      <c r="A3" s="516"/>
    </row>
    <row r="4" spans="1:9" s="517" customFormat="1" ht="104.25" customHeight="1">
      <c r="A4" s="518" t="s">
        <v>63</v>
      </c>
      <c r="B4" s="519" t="s">
        <v>89</v>
      </c>
      <c r="C4" s="520" t="s">
        <v>90</v>
      </c>
      <c r="D4" s="520" t="s">
        <v>142</v>
      </c>
      <c r="E4" s="520" t="s">
        <v>92</v>
      </c>
      <c r="F4" s="520" t="s">
        <v>93</v>
      </c>
      <c r="G4" s="520" t="s">
        <v>114</v>
      </c>
      <c r="H4" s="520" t="s">
        <v>165</v>
      </c>
      <c r="I4" s="520" t="s">
        <v>166</v>
      </c>
    </row>
    <row r="5" spans="1:9" s="517" customFormat="1">
      <c r="A5" s="521">
        <v>1</v>
      </c>
      <c r="B5" s="522">
        <v>2</v>
      </c>
      <c r="C5" s="522">
        <v>4</v>
      </c>
      <c r="D5" s="521">
        <v>5</v>
      </c>
      <c r="E5" s="522">
        <v>6</v>
      </c>
      <c r="F5" s="521">
        <v>7</v>
      </c>
      <c r="G5" s="522">
        <v>8</v>
      </c>
      <c r="H5" s="521">
        <v>9</v>
      </c>
      <c r="I5" s="521">
        <v>11</v>
      </c>
    </row>
    <row r="6" spans="1:9" s="517" customFormat="1">
      <c r="A6" s="521"/>
      <c r="B6" s="522"/>
      <c r="C6" s="522"/>
      <c r="D6" s="521"/>
      <c r="E6" s="522"/>
      <c r="F6" s="521"/>
      <c r="G6" s="522"/>
      <c r="H6" s="521"/>
      <c r="I6" s="521"/>
    </row>
    <row r="7" spans="1:9" s="517" customFormat="1" ht="28.5" customHeight="1">
      <c r="A7" s="518">
        <v>1</v>
      </c>
      <c r="B7" s="523" t="s">
        <v>167</v>
      </c>
      <c r="C7" s="521">
        <f>1374.9+430</f>
        <v>1804.9</v>
      </c>
      <c r="D7" s="521">
        <f>I15+I16</f>
        <v>195</v>
      </c>
      <c r="E7" s="521">
        <v>252</v>
      </c>
      <c r="F7" s="521">
        <v>200.47</v>
      </c>
      <c r="G7" s="521">
        <f>30/1000</f>
        <v>0.03</v>
      </c>
      <c r="H7" s="538">
        <f>(D7+C7/0.8)*E7*F7*G7</f>
        <v>3714810.3373500002</v>
      </c>
      <c r="I7" s="769">
        <f>H7/1000</f>
        <v>3714.8103373500003</v>
      </c>
    </row>
    <row r="8" spans="1:9" s="517" customFormat="1">
      <c r="A8" s="518">
        <v>2</v>
      </c>
      <c r="B8" s="523" t="s">
        <v>250</v>
      </c>
      <c r="C8" s="522">
        <v>265.2</v>
      </c>
      <c r="D8" s="522">
        <f>I14</f>
        <v>192</v>
      </c>
      <c r="E8" s="773">
        <v>252</v>
      </c>
      <c r="F8" s="521">
        <v>200.47</v>
      </c>
      <c r="G8" s="521">
        <f>30/1000</f>
        <v>0.03</v>
      </c>
      <c r="H8" s="538">
        <f>(D8+C8/0.8)*E8*F8*G8</f>
        <v>793392.10019999999</v>
      </c>
      <c r="I8" s="769">
        <f>H8/1000</f>
        <v>793.39210019999996</v>
      </c>
    </row>
    <row r="9" spans="1:9" s="517" customFormat="1" ht="20.25" customHeight="1">
      <c r="A9" s="521"/>
      <c r="B9" s="526" t="s">
        <v>75</v>
      </c>
      <c r="C9" s="521">
        <f>SUM(C7:C8)</f>
        <v>2070.1</v>
      </c>
      <c r="D9" s="226">
        <f>SUM(D7:D8)</f>
        <v>387</v>
      </c>
      <c r="E9" s="522" t="s">
        <v>7</v>
      </c>
      <c r="F9" s="522" t="s">
        <v>7</v>
      </c>
      <c r="G9" s="522" t="s">
        <v>7</v>
      </c>
      <c r="H9" s="769">
        <f>SUM(H7:H8)</f>
        <v>4508202.4375499999</v>
      </c>
      <c r="I9" s="770">
        <f>SUM(I7:I8)</f>
        <v>4508.2024375500005</v>
      </c>
    </row>
    <row r="11" spans="1:9" s="628" customFormat="1" ht="15" customHeight="1">
      <c r="A11" s="491"/>
      <c r="B11" s="491"/>
      <c r="C11" s="491"/>
      <c r="D11" s="491"/>
      <c r="E11" s="491"/>
      <c r="F11" s="491"/>
      <c r="G11" s="491"/>
      <c r="H11" s="491"/>
      <c r="I11" s="491"/>
    </row>
    <row r="12" spans="1:9" s="628" customFormat="1">
      <c r="A12" s="491"/>
      <c r="B12" s="491" t="s">
        <v>82</v>
      </c>
      <c r="C12" s="491"/>
      <c r="D12" s="491"/>
      <c r="E12" s="491"/>
      <c r="F12" s="491"/>
      <c r="G12" s="491"/>
      <c r="H12" s="491"/>
      <c r="I12" s="491"/>
    </row>
    <row r="13" spans="1:9" s="628" customFormat="1" ht="27.75">
      <c r="A13" s="629" t="s">
        <v>79</v>
      </c>
      <c r="B13" s="630"/>
      <c r="C13" s="546"/>
      <c r="D13" s="631" t="s">
        <v>269</v>
      </c>
      <c r="E13" s="632" t="s">
        <v>83</v>
      </c>
      <c r="F13" s="632" t="s">
        <v>84</v>
      </c>
      <c r="G13" s="632" t="s">
        <v>85</v>
      </c>
      <c r="H13" s="632" t="s">
        <v>86</v>
      </c>
      <c r="I13" s="632" t="s">
        <v>87</v>
      </c>
    </row>
    <row r="14" spans="1:9" s="628" customFormat="1">
      <c r="A14" s="810" t="s">
        <v>251</v>
      </c>
      <c r="B14" s="811"/>
      <c r="C14" s="812"/>
      <c r="D14" s="804">
        <v>5</v>
      </c>
      <c r="E14" s="804"/>
      <c r="F14" s="804">
        <v>142</v>
      </c>
      <c r="G14" s="804">
        <v>30</v>
      </c>
      <c r="H14" s="804">
        <v>15</v>
      </c>
      <c r="I14" s="805">
        <f>SUM(D14:H14)</f>
        <v>192</v>
      </c>
    </row>
    <row r="15" spans="1:9" s="628" customFormat="1">
      <c r="A15" s="810" t="s">
        <v>252</v>
      </c>
      <c r="B15" s="811"/>
      <c r="C15" s="812"/>
      <c r="D15" s="804"/>
      <c r="E15" s="804">
        <v>13</v>
      </c>
      <c r="F15" s="804">
        <v>43</v>
      </c>
      <c r="G15" s="804">
        <v>12</v>
      </c>
      <c r="H15" s="804">
        <v>34</v>
      </c>
      <c r="I15" s="805">
        <f t="shared" ref="I15" si="0">SUM(D15:H15)</f>
        <v>102</v>
      </c>
    </row>
    <row r="16" spans="1:9" s="776" customFormat="1">
      <c r="A16" s="810" t="s">
        <v>243</v>
      </c>
      <c r="B16" s="811"/>
      <c r="C16" s="812"/>
      <c r="D16" s="804"/>
      <c r="E16" s="804">
        <v>16</v>
      </c>
      <c r="F16" s="804">
        <v>66</v>
      </c>
      <c r="G16" s="804">
        <v>11</v>
      </c>
      <c r="H16" s="804"/>
      <c r="I16" s="805">
        <f t="shared" ref="I16" si="1">SUM(D16:H16)</f>
        <v>93</v>
      </c>
    </row>
    <row r="17" spans="1:9" s="628" customFormat="1">
      <c r="A17" s="548" t="s">
        <v>75</v>
      </c>
      <c r="B17" s="630"/>
      <c r="C17" s="546"/>
      <c r="D17" s="548">
        <f t="shared" ref="D17:I17" si="2">SUM(D14:D16)</f>
        <v>5</v>
      </c>
      <c r="E17" s="548">
        <f t="shared" si="2"/>
        <v>29</v>
      </c>
      <c r="F17" s="548">
        <f t="shared" si="2"/>
        <v>251</v>
      </c>
      <c r="G17" s="548">
        <f t="shared" si="2"/>
        <v>53</v>
      </c>
      <c r="H17" s="548">
        <f t="shared" si="2"/>
        <v>49</v>
      </c>
      <c r="I17" s="548">
        <f t="shared" si="2"/>
        <v>387</v>
      </c>
    </row>
    <row r="18" spans="1:9" s="628" customFormat="1"/>
    <row r="19" spans="1:9" s="585" customFormat="1" ht="31.5" customHeight="1">
      <c r="A19" s="512"/>
      <c r="B19" s="633" t="s">
        <v>149</v>
      </c>
      <c r="C19" s="633"/>
      <c r="D19" s="634"/>
      <c r="E19" s="634"/>
      <c r="F19" s="634"/>
      <c r="G19" s="634"/>
      <c r="H19" s="634"/>
      <c r="I19" s="634"/>
    </row>
    <row r="20" spans="1:9" s="628" customFormat="1">
      <c r="A20" s="517"/>
      <c r="B20" s="517"/>
      <c r="C20" s="517"/>
      <c r="D20" s="517"/>
      <c r="E20" s="517"/>
      <c r="F20" s="517"/>
    </row>
    <row r="21" spans="1:9" s="628" customFormat="1" ht="40.5">
      <c r="A21" s="518" t="s">
        <v>63</v>
      </c>
      <c r="B21" s="682" t="s">
        <v>229</v>
      </c>
      <c r="C21" s="519" t="s">
        <v>96</v>
      </c>
      <c r="D21" s="519" t="s">
        <v>97</v>
      </c>
      <c r="E21" s="519" t="s">
        <v>107</v>
      </c>
      <c r="F21" s="519" t="s">
        <v>108</v>
      </c>
      <c r="G21" s="519" t="s">
        <v>109</v>
      </c>
      <c r="H21" s="519" t="s">
        <v>187</v>
      </c>
    </row>
    <row r="22" spans="1:9" s="628" customFormat="1" ht="149.25">
      <c r="A22" s="579">
        <v>1</v>
      </c>
      <c r="B22" s="728" t="s">
        <v>230</v>
      </c>
      <c r="C22" s="526" t="s">
        <v>231</v>
      </c>
      <c r="D22" s="521" t="s">
        <v>94</v>
      </c>
      <c r="E22" s="729">
        <v>670</v>
      </c>
      <c r="F22" s="579">
        <v>20</v>
      </c>
      <c r="G22" s="521">
        <v>12</v>
      </c>
      <c r="H22" s="525">
        <f>G22*F22*E22/1000</f>
        <v>160.80000000000001</v>
      </c>
    </row>
    <row r="23" spans="1:9" s="776" customFormat="1" ht="149.25">
      <c r="A23" s="579">
        <v>2</v>
      </c>
      <c r="B23" s="728" t="s">
        <v>225</v>
      </c>
      <c r="C23" s="526" t="s">
        <v>231</v>
      </c>
      <c r="D23" s="773" t="s">
        <v>94</v>
      </c>
      <c r="E23" s="729">
        <v>650</v>
      </c>
      <c r="F23" s="579">
        <v>20</v>
      </c>
      <c r="G23" s="773">
        <v>12</v>
      </c>
      <c r="H23" s="525">
        <f>G23*F23*E23/1000</f>
        <v>156</v>
      </c>
    </row>
    <row r="24" spans="1:9" s="628" customFormat="1" ht="149.25">
      <c r="A24" s="579">
        <v>3</v>
      </c>
      <c r="B24" s="728" t="s">
        <v>252</v>
      </c>
      <c r="C24" s="526" t="s">
        <v>231</v>
      </c>
      <c r="D24" s="521" t="s">
        <v>94</v>
      </c>
      <c r="E24" s="729">
        <v>1250</v>
      </c>
      <c r="F24" s="579">
        <v>20</v>
      </c>
      <c r="G24" s="521">
        <v>12</v>
      </c>
      <c r="H24" s="525">
        <f>G24*F24*E24/1000</f>
        <v>300</v>
      </c>
    </row>
    <row r="25" spans="1:9" s="628" customFormat="1">
      <c r="A25" s="579"/>
      <c r="B25" s="682"/>
      <c r="C25" s="636" t="s">
        <v>75</v>
      </c>
      <c r="D25" s="579"/>
      <c r="E25" s="579"/>
      <c r="F25" s="579"/>
      <c r="G25" s="579"/>
      <c r="H25" s="730">
        <f>SUM(H22:H24)</f>
        <v>616.79999999999995</v>
      </c>
    </row>
    <row r="26" spans="1:9" s="628" customFormat="1">
      <c r="A26" s="517"/>
      <c r="C26" s="517"/>
      <c r="D26" s="517"/>
      <c r="E26" s="517"/>
      <c r="F26" s="517"/>
    </row>
    <row r="27" spans="1:9" s="628" customFormat="1">
      <c r="A27" s="517"/>
      <c r="B27" s="517"/>
      <c r="C27" s="517"/>
      <c r="D27" s="517"/>
      <c r="E27" s="517"/>
      <c r="F27" s="517"/>
    </row>
    <row r="28" spans="1:9" s="517" customFormat="1" ht="126" customHeight="1">
      <c r="A28" s="809"/>
      <c r="B28" s="809"/>
      <c r="C28" s="809"/>
      <c r="D28" s="809"/>
      <c r="E28" s="809"/>
      <c r="F28" s="809"/>
      <c r="G28" s="809"/>
      <c r="H28" s="809"/>
      <c r="I28" s="637"/>
    </row>
    <row r="29" spans="1:9" s="628" customFormat="1">
      <c r="A29" s="638"/>
      <c r="B29" s="638"/>
      <c r="C29" s="638"/>
      <c r="D29" s="638"/>
      <c r="E29" s="638"/>
      <c r="F29" s="638"/>
      <c r="G29" s="639"/>
      <c r="H29" s="639"/>
    </row>
    <row r="30" spans="1:9" s="628" customFormat="1">
      <c r="A30" s="517"/>
      <c r="B30" s="517"/>
      <c r="C30" s="517"/>
      <c r="D30" s="517"/>
      <c r="E30" s="517"/>
      <c r="F30" s="517"/>
    </row>
    <row r="31" spans="1:9" s="628" customFormat="1">
      <c r="A31" s="517"/>
      <c r="B31" s="517"/>
      <c r="C31" s="517"/>
      <c r="D31" s="517"/>
      <c r="E31" s="517"/>
      <c r="F31" s="517"/>
    </row>
    <row r="32" spans="1:9" s="628" customFormat="1">
      <c r="A32" s="517"/>
      <c r="B32" s="517"/>
      <c r="C32" s="517"/>
      <c r="D32" s="517"/>
      <c r="E32" s="517"/>
      <c r="F32" s="517"/>
    </row>
    <row r="33" spans="1:6" s="628" customFormat="1">
      <c r="A33" s="517"/>
      <c r="B33" s="517"/>
      <c r="C33" s="517"/>
      <c r="D33" s="517"/>
      <c r="E33" s="517"/>
      <c r="F33" s="517"/>
    </row>
    <row r="34" spans="1:6" s="628" customFormat="1">
      <c r="A34" s="517"/>
      <c r="B34" s="517"/>
      <c r="C34" s="517"/>
      <c r="D34" s="517"/>
      <c r="E34" s="517"/>
      <c r="F34" s="517"/>
    </row>
    <row r="35" spans="1:6" s="628" customFormat="1">
      <c r="A35" s="517"/>
      <c r="B35" s="517"/>
      <c r="C35" s="517"/>
      <c r="D35" s="517"/>
      <c r="E35" s="517"/>
      <c r="F35" s="517"/>
    </row>
    <row r="36" spans="1:6" s="628" customFormat="1">
      <c r="A36" s="517"/>
      <c r="B36" s="517"/>
      <c r="C36" s="517"/>
      <c r="D36" s="517"/>
      <c r="E36" s="517"/>
      <c r="F36" s="517"/>
    </row>
    <row r="37" spans="1:6" s="628" customFormat="1">
      <c r="A37" s="517"/>
      <c r="B37" s="517"/>
      <c r="C37" s="517"/>
      <c r="D37" s="517"/>
      <c r="E37" s="517"/>
      <c r="F37" s="517"/>
    </row>
    <row r="38" spans="1:6" s="628" customFormat="1">
      <c r="A38" s="517"/>
      <c r="B38" s="517"/>
      <c r="C38" s="517"/>
      <c r="D38" s="517"/>
      <c r="E38" s="517"/>
      <c r="F38" s="517"/>
    </row>
    <row r="39" spans="1:6" s="628" customFormat="1">
      <c r="A39" s="517"/>
      <c r="B39" s="517"/>
      <c r="C39" s="517"/>
      <c r="D39" s="517"/>
      <c r="E39" s="517"/>
      <c r="F39" s="517"/>
    </row>
    <row r="40" spans="1:6" s="628" customFormat="1">
      <c r="A40" s="517"/>
      <c r="B40" s="517"/>
      <c r="C40" s="517"/>
      <c r="D40" s="517"/>
      <c r="E40" s="517"/>
      <c r="F40" s="517"/>
    </row>
    <row r="41" spans="1:6" s="628" customFormat="1">
      <c r="A41" s="517"/>
      <c r="B41" s="517"/>
      <c r="C41" s="517"/>
      <c r="D41" s="517"/>
      <c r="E41" s="517"/>
      <c r="F41" s="517"/>
    </row>
    <row r="42" spans="1:6" s="628" customFormat="1">
      <c r="A42" s="517"/>
      <c r="B42" s="517"/>
      <c r="C42" s="517"/>
      <c r="D42" s="517"/>
      <c r="E42" s="517"/>
      <c r="F42" s="517"/>
    </row>
    <row r="43" spans="1:6" s="628" customFormat="1">
      <c r="A43" s="517"/>
      <c r="B43" s="517"/>
      <c r="C43" s="517"/>
      <c r="D43" s="517"/>
      <c r="E43" s="517"/>
      <c r="F43" s="517"/>
    </row>
    <row r="44" spans="1:6" s="628" customFormat="1">
      <c r="A44" s="517"/>
      <c r="B44" s="517"/>
      <c r="C44" s="517"/>
      <c r="D44" s="517"/>
      <c r="E44" s="517"/>
      <c r="F44" s="517"/>
    </row>
  </sheetData>
  <mergeCells count="4">
    <mergeCell ref="A28:H28"/>
    <mergeCell ref="A15:C15"/>
    <mergeCell ref="A14:C14"/>
    <mergeCell ref="A16:C16"/>
  </mergeCells>
  <pageMargins left="0.43307086614173201" right="0.31496062992126" top="0.23" bottom="0.37" header="0.196850393700787" footer="0.25"/>
  <pageSetup scale="66" orientation="portrait" verticalDpi="0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26"/>
  <sheetViews>
    <sheetView zoomScaleNormal="100" workbookViewId="0">
      <selection activeCell="D16" sqref="D16:G16"/>
    </sheetView>
  </sheetViews>
  <sheetFormatPr defaultColWidth="9.140625" defaultRowHeight="13.5"/>
  <cols>
    <col min="1" max="1" width="2.85546875" style="270" customWidth="1"/>
    <col min="2" max="2" width="17" style="270" customWidth="1"/>
    <col min="3" max="3" width="33.85546875" style="270" customWidth="1"/>
    <col min="4" max="4" width="10" style="270" customWidth="1"/>
    <col min="5" max="5" width="10.85546875" style="270" customWidth="1"/>
    <col min="6" max="6" width="10.5703125" style="270" customWidth="1"/>
    <col min="7" max="7" width="9.42578125" style="269" customWidth="1"/>
    <col min="8" max="8" width="9.7109375" style="269" customWidth="1"/>
    <col min="9" max="9" width="11" style="269" customWidth="1"/>
    <col min="10" max="16384" width="9.140625" style="269"/>
  </cols>
  <sheetData>
    <row r="1" spans="1:14" s="204" customFormat="1" ht="30.75" customHeight="1" thickBot="1">
      <c r="B1" s="205" t="s">
        <v>141</v>
      </c>
      <c r="C1" s="298" t="s">
        <v>241</v>
      </c>
      <c r="D1" s="207"/>
      <c r="E1" s="207"/>
      <c r="F1" s="207"/>
      <c r="G1" s="257"/>
      <c r="H1" s="258"/>
    </row>
    <row r="2" spans="1:14" s="259" customFormat="1" ht="39.75" customHeight="1">
      <c r="A2" s="210"/>
      <c r="B2" s="836" t="s">
        <v>150</v>
      </c>
      <c r="C2" s="836"/>
      <c r="D2" s="836"/>
      <c r="E2" s="836"/>
      <c r="F2" s="836"/>
      <c r="G2" s="836"/>
      <c r="H2" s="836"/>
    </row>
    <row r="3" spans="1:14" s="262" customFormat="1">
      <c r="A3" s="260"/>
      <c r="B3" s="261"/>
      <c r="C3" s="261"/>
      <c r="D3" s="261"/>
      <c r="E3" s="261"/>
      <c r="F3" s="261"/>
      <c r="G3" s="261"/>
      <c r="H3" s="261"/>
    </row>
    <row r="4" spans="1:14" s="300" customFormat="1" ht="114">
      <c r="A4" s="738"/>
      <c r="B4" s="310" t="s">
        <v>89</v>
      </c>
      <c r="C4" s="311" t="s">
        <v>112</v>
      </c>
      <c r="D4" s="311" t="s">
        <v>91</v>
      </c>
      <c r="E4" s="311" t="s">
        <v>92</v>
      </c>
      <c r="F4" s="311" t="s">
        <v>113</v>
      </c>
      <c r="G4" s="311" t="s">
        <v>114</v>
      </c>
      <c r="H4" s="311" t="s">
        <v>115</v>
      </c>
      <c r="I4" s="269"/>
    </row>
    <row r="5" spans="1:14" s="300" customFormat="1" ht="28.5">
      <c r="A5" s="739">
        <v>1</v>
      </c>
      <c r="B5" s="740">
        <v>2</v>
      </c>
      <c r="C5" s="740">
        <v>4</v>
      </c>
      <c r="D5" s="739">
        <v>5</v>
      </c>
      <c r="E5" s="740">
        <v>6</v>
      </c>
      <c r="F5" s="739">
        <v>7</v>
      </c>
      <c r="G5" s="740">
        <v>8</v>
      </c>
      <c r="H5" s="740" t="s">
        <v>32</v>
      </c>
      <c r="I5" s="269"/>
    </row>
    <row r="6" spans="1:14" s="300" customFormat="1" ht="14.25">
      <c r="A6" s="739"/>
      <c r="B6" s="740"/>
      <c r="C6" s="740"/>
      <c r="D6" s="739"/>
      <c r="E6" s="740"/>
      <c r="F6" s="739"/>
      <c r="G6" s="740"/>
      <c r="H6" s="741"/>
      <c r="I6" s="274"/>
    </row>
    <row r="7" spans="1:14" s="300" customFormat="1">
      <c r="A7" s="742">
        <v>1</v>
      </c>
      <c r="B7" s="743" t="s">
        <v>197</v>
      </c>
      <c r="C7" s="732">
        <v>109.74</v>
      </c>
      <c r="D7" s="744">
        <f>26</f>
        <v>26</v>
      </c>
      <c r="E7" s="521">
        <v>252</v>
      </c>
      <c r="F7" s="220">
        <v>200.47</v>
      </c>
      <c r="G7" s="742">
        <f>30/1000</f>
        <v>0.03</v>
      </c>
      <c r="H7" s="792">
        <f>(D7+C7/0.8)*E7*F7*G7/1000</f>
        <v>247.30039341</v>
      </c>
      <c r="I7" s="274"/>
    </row>
    <row r="8" spans="1:14" s="300" customFormat="1">
      <c r="A8" s="742">
        <v>2</v>
      </c>
      <c r="B8" s="743" t="s">
        <v>198</v>
      </c>
      <c r="C8" s="732">
        <v>110.2</v>
      </c>
      <c r="D8" s="744">
        <f>26+2</f>
        <v>28</v>
      </c>
      <c r="E8" s="773">
        <v>252</v>
      </c>
      <c r="F8" s="220">
        <v>200.47</v>
      </c>
      <c r="G8" s="742">
        <f>30/1000</f>
        <v>0.03</v>
      </c>
      <c r="H8" s="792">
        <f>(D8+C8/0.8)*E8*F8*G8/1000</f>
        <v>251.20294289999998</v>
      </c>
      <c r="I8" s="274"/>
    </row>
    <row r="9" spans="1:14" s="300" customFormat="1">
      <c r="A9" s="742">
        <v>3</v>
      </c>
      <c r="B9" s="743" t="s">
        <v>199</v>
      </c>
      <c r="C9" s="732">
        <v>171</v>
      </c>
      <c r="D9" s="744">
        <f>45+7</f>
        <v>52</v>
      </c>
      <c r="E9" s="773">
        <v>252</v>
      </c>
      <c r="F9" s="220">
        <v>200.47</v>
      </c>
      <c r="G9" s="742">
        <f>30/1000</f>
        <v>0.03</v>
      </c>
      <c r="H9" s="792">
        <f>(D9+C9/0.8)*E9*F9*G9/1000</f>
        <v>402.75826289999998</v>
      </c>
      <c r="I9" s="277"/>
    </row>
    <row r="10" spans="1:14" s="300" customFormat="1">
      <c r="A10" s="742">
        <v>4</v>
      </c>
      <c r="B10" s="743" t="s">
        <v>200</v>
      </c>
      <c r="C10" s="732">
        <v>325.5</v>
      </c>
      <c r="D10" s="744">
        <f>34+6</f>
        <v>40</v>
      </c>
      <c r="E10" s="773">
        <v>252</v>
      </c>
      <c r="F10" s="220">
        <v>200.47</v>
      </c>
      <c r="G10" s="742">
        <f>30/1000</f>
        <v>0.03</v>
      </c>
      <c r="H10" s="792">
        <f>(D10+C10/0.8)*E10*F10*G10/1000</f>
        <v>677.26283624999996</v>
      </c>
      <c r="I10" s="274"/>
    </row>
    <row r="11" spans="1:14" s="304" customFormat="1" ht="13.5" customHeight="1">
      <c r="A11" s="739"/>
      <c r="B11" s="745" t="s">
        <v>75</v>
      </c>
      <c r="C11" s="746">
        <f>SUM(C7:C10)</f>
        <v>716.44</v>
      </c>
      <c r="D11" s="747">
        <f>SUM(D7:D10)</f>
        <v>146</v>
      </c>
      <c r="E11" s="740" t="s">
        <v>7</v>
      </c>
      <c r="F11" s="740" t="s">
        <v>7</v>
      </c>
      <c r="G11" s="740" t="s">
        <v>7</v>
      </c>
      <c r="H11" s="746">
        <f>SUM(H7:H10)</f>
        <v>1578.5244354599999</v>
      </c>
    </row>
    <row r="12" spans="1:14" s="304" customFormat="1" ht="14.25">
      <c r="A12" s="748"/>
      <c r="B12" s="748"/>
      <c r="C12" s="748"/>
      <c r="D12" s="748"/>
      <c r="E12" s="748"/>
      <c r="F12" s="748"/>
      <c r="G12" s="748"/>
      <c r="H12" s="748"/>
    </row>
    <row r="13" spans="1:14" s="227" customFormat="1">
      <c r="B13" s="148" t="s">
        <v>82</v>
      </c>
      <c r="C13" s="148"/>
      <c r="D13" s="148"/>
      <c r="E13" s="148"/>
      <c r="F13" s="148"/>
      <c r="G13" s="148"/>
      <c r="H13" s="148"/>
      <c r="M13" s="148"/>
      <c r="N13" s="148"/>
    </row>
    <row r="14" spans="1:14" s="227" customFormat="1" ht="29.25" customHeight="1">
      <c r="B14" s="830" t="s">
        <v>79</v>
      </c>
      <c r="C14" s="831"/>
      <c r="D14" s="228" t="s">
        <v>83</v>
      </c>
      <c r="E14" s="229" t="s">
        <v>84</v>
      </c>
      <c r="F14" s="229" t="s">
        <v>85</v>
      </c>
      <c r="G14" s="229" t="s">
        <v>86</v>
      </c>
      <c r="H14" s="229" t="s">
        <v>87</v>
      </c>
      <c r="M14" s="148"/>
      <c r="N14" s="148"/>
    </row>
    <row r="15" spans="1:14" s="227" customFormat="1" ht="14.25">
      <c r="B15" s="837"/>
      <c r="C15" s="838"/>
      <c r="D15" s="229"/>
      <c r="E15" s="229"/>
      <c r="F15" s="229"/>
      <c r="G15" s="229"/>
      <c r="H15" s="232">
        <f>SUM(D15:G15)</f>
        <v>0</v>
      </c>
      <c r="M15" s="148"/>
      <c r="N15" s="148"/>
    </row>
    <row r="16" spans="1:14" s="227" customFormat="1" ht="30" customHeight="1">
      <c r="B16" s="834" t="s">
        <v>241</v>
      </c>
      <c r="C16" s="835"/>
      <c r="D16" s="806">
        <v>13</v>
      </c>
      <c r="E16" s="804">
        <v>52</v>
      </c>
      <c r="F16" s="804">
        <v>23</v>
      </c>
      <c r="G16" s="804">
        <v>58</v>
      </c>
      <c r="H16" s="805">
        <f>SUM(D16:G16)</f>
        <v>146</v>
      </c>
      <c r="M16" s="148"/>
      <c r="N16" s="148"/>
    </row>
    <row r="17" spans="1:14" s="227" customFormat="1" ht="14.25">
      <c r="B17" s="233" t="s">
        <v>75</v>
      </c>
      <c r="C17" s="228"/>
      <c r="D17" s="234">
        <f>+D15+D16</f>
        <v>13</v>
      </c>
      <c r="E17" s="234">
        <f>+E15+E16</f>
        <v>52</v>
      </c>
      <c r="F17" s="234">
        <f>+F15+F16</f>
        <v>23</v>
      </c>
      <c r="G17" s="234">
        <f>+G15+G16</f>
        <v>58</v>
      </c>
      <c r="H17" s="234">
        <f>+H15+H16</f>
        <v>146</v>
      </c>
      <c r="M17" s="148"/>
      <c r="N17" s="148"/>
    </row>
    <row r="18" spans="1:14" s="227" customFormat="1"/>
    <row r="19" spans="1:14" s="270" customFormat="1" ht="14.25">
      <c r="A19" s="347"/>
      <c r="B19" s="245" t="s">
        <v>149</v>
      </c>
      <c r="C19" s="749"/>
      <c r="D19" s="749"/>
      <c r="E19" s="750"/>
      <c r="F19" s="348"/>
      <c r="G19" s="348"/>
      <c r="H19" s="749"/>
    </row>
    <row r="20" spans="1:14" s="270" customFormat="1" ht="14.25">
      <c r="A20" s="347"/>
      <c r="B20" s="245"/>
      <c r="C20" s="749"/>
      <c r="D20" s="749"/>
      <c r="E20" s="750"/>
      <c r="F20" s="348"/>
      <c r="G20" s="348"/>
      <c r="H20" s="749"/>
    </row>
    <row r="21" spans="1:14" s="351" customFormat="1" ht="67.5">
      <c r="A21" s="354" t="s">
        <v>63</v>
      </c>
      <c r="B21" s="354" t="s">
        <v>106</v>
      </c>
      <c r="C21" s="354" t="s">
        <v>96</v>
      </c>
      <c r="D21" s="355" t="s">
        <v>97</v>
      </c>
      <c r="E21" s="355" t="s">
        <v>107</v>
      </c>
      <c r="F21" s="355" t="s">
        <v>120</v>
      </c>
      <c r="G21" s="355" t="s">
        <v>201</v>
      </c>
      <c r="H21" s="355" t="s">
        <v>122</v>
      </c>
    </row>
    <row r="22" spans="1:14" s="352" customFormat="1" ht="81">
      <c r="A22" s="356">
        <v>1</v>
      </c>
      <c r="B22" s="357" t="s">
        <v>197</v>
      </c>
      <c r="C22" s="225" t="s">
        <v>175</v>
      </c>
      <c r="D22" s="358" t="s">
        <v>94</v>
      </c>
      <c r="E22" s="251">
        <v>300</v>
      </c>
      <c r="F22" s="251">
        <v>20</v>
      </c>
      <c r="G22" s="251">
        <v>12</v>
      </c>
      <c r="H22" s="251">
        <f>E22*F22*G22/1000</f>
        <v>72</v>
      </c>
    </row>
    <row r="23" spans="1:14" s="352" customFormat="1" ht="81">
      <c r="A23" s="356">
        <v>2</v>
      </c>
      <c r="B23" s="357" t="s">
        <v>198</v>
      </c>
      <c r="C23" s="225" t="s">
        <v>175</v>
      </c>
      <c r="D23" s="358" t="s">
        <v>94</v>
      </c>
      <c r="E23" s="251">
        <v>300</v>
      </c>
      <c r="F23" s="251">
        <v>20</v>
      </c>
      <c r="G23" s="251">
        <v>12</v>
      </c>
      <c r="H23" s="251">
        <f>E23*F23*G23/1000</f>
        <v>72</v>
      </c>
    </row>
    <row r="24" spans="1:14" s="352" customFormat="1" ht="81">
      <c r="A24" s="356">
        <v>3</v>
      </c>
      <c r="B24" s="357" t="s">
        <v>199</v>
      </c>
      <c r="C24" s="225" t="s">
        <v>175</v>
      </c>
      <c r="D24" s="358" t="s">
        <v>94</v>
      </c>
      <c r="E24" s="251">
        <v>500</v>
      </c>
      <c r="F24" s="251">
        <v>20</v>
      </c>
      <c r="G24" s="251">
        <v>12</v>
      </c>
      <c r="H24" s="251">
        <f>E24*F24*G24/1000</f>
        <v>120</v>
      </c>
    </row>
    <row r="25" spans="1:14" s="352" customFormat="1" ht="81">
      <c r="A25" s="356">
        <v>4</v>
      </c>
      <c r="B25" s="357" t="s">
        <v>200</v>
      </c>
      <c r="C25" s="225" t="s">
        <v>175</v>
      </c>
      <c r="D25" s="358" t="s">
        <v>94</v>
      </c>
      <c r="E25" s="251">
        <v>500</v>
      </c>
      <c r="F25" s="251">
        <v>20</v>
      </c>
      <c r="G25" s="251">
        <v>12</v>
      </c>
      <c r="H25" s="251">
        <f>E25*F25*G25/1000</f>
        <v>120</v>
      </c>
    </row>
    <row r="26" spans="1:14" s="352" customFormat="1" ht="14.25">
      <c r="A26" s="356"/>
      <c r="B26" s="359" t="s">
        <v>75</v>
      </c>
      <c r="C26" s="360"/>
      <c r="D26" s="358"/>
      <c r="E26" s="358"/>
      <c r="F26" s="358"/>
      <c r="G26" s="358"/>
      <c r="H26" s="353">
        <f>SUM(H24:H25)</f>
        <v>240</v>
      </c>
    </row>
  </sheetData>
  <mergeCells count="4">
    <mergeCell ref="B14:C14"/>
    <mergeCell ref="B15:C15"/>
    <mergeCell ref="B16:C16"/>
    <mergeCell ref="B2:H2"/>
  </mergeCells>
  <pageMargins left="0.51" right="0.39370078740157483" top="0.59055118110236227" bottom="0.59055118110236227" header="0.31496062992125984" footer="0.31496062992125984"/>
  <pageSetup paperSize="9" scale="87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R23"/>
  <sheetViews>
    <sheetView zoomScaleNormal="100" workbookViewId="0">
      <selection activeCell="D14" sqref="D14:G14"/>
    </sheetView>
  </sheetViews>
  <sheetFormatPr defaultColWidth="9.140625" defaultRowHeight="17.25"/>
  <cols>
    <col min="1" max="1" width="4.28515625" style="368" customWidth="1"/>
    <col min="2" max="2" width="14" style="368" customWidth="1"/>
    <col min="3" max="3" width="38.140625" style="368" customWidth="1"/>
    <col min="4" max="4" width="9.5703125" style="368" customWidth="1"/>
    <col min="5" max="5" width="12" style="368" customWidth="1"/>
    <col min="6" max="6" width="10.5703125" style="368" customWidth="1"/>
    <col min="7" max="7" width="12" style="369" customWidth="1"/>
    <col min="8" max="8" width="12.42578125" style="369" customWidth="1"/>
    <col min="9" max="18" width="9.140625" style="368"/>
    <col min="19" max="16384" width="9.140625" style="369"/>
  </cols>
  <sheetData>
    <row r="1" spans="1:18" s="204" customFormat="1" ht="30.75" customHeight="1" thickBot="1">
      <c r="B1" s="205" t="s">
        <v>141</v>
      </c>
      <c r="C1" s="298" t="s">
        <v>238</v>
      </c>
      <c r="D1" s="207"/>
      <c r="E1" s="207"/>
      <c r="F1" s="207"/>
      <c r="G1" s="257"/>
      <c r="H1" s="258"/>
      <c r="I1" s="361"/>
      <c r="J1" s="361"/>
      <c r="K1" s="361"/>
      <c r="L1" s="361"/>
      <c r="M1" s="361"/>
      <c r="N1" s="361"/>
      <c r="O1" s="361"/>
      <c r="P1" s="361"/>
      <c r="Q1" s="361"/>
      <c r="R1" s="361"/>
    </row>
    <row r="2" spans="1:18" s="259" customFormat="1" ht="42.75" customHeight="1">
      <c r="A2" s="210"/>
      <c r="B2" s="836" t="s">
        <v>150</v>
      </c>
      <c r="C2" s="836"/>
      <c r="D2" s="836"/>
      <c r="E2" s="836"/>
      <c r="F2" s="836"/>
      <c r="G2" s="836"/>
      <c r="H2" s="836"/>
      <c r="I2" s="362"/>
      <c r="J2" s="362"/>
      <c r="K2" s="362"/>
      <c r="L2" s="362"/>
      <c r="M2" s="362"/>
      <c r="N2" s="362"/>
      <c r="O2" s="362"/>
      <c r="P2" s="362"/>
      <c r="Q2" s="362"/>
      <c r="R2" s="362"/>
    </row>
    <row r="3" spans="1:18" s="262" customFormat="1" ht="13.5">
      <c r="A3" s="260"/>
      <c r="B3" s="261"/>
      <c r="C3" s="261"/>
      <c r="D3" s="261"/>
      <c r="E3" s="261"/>
      <c r="F3" s="261"/>
      <c r="G3" s="261"/>
      <c r="H3" s="261"/>
      <c r="I3" s="363"/>
      <c r="J3" s="363"/>
      <c r="K3" s="363"/>
      <c r="L3" s="363"/>
      <c r="M3" s="363"/>
      <c r="N3" s="363"/>
      <c r="O3" s="363"/>
      <c r="P3" s="363"/>
      <c r="Q3" s="363"/>
      <c r="R3" s="363"/>
    </row>
    <row r="4" spans="1:18" s="365" customFormat="1" ht="47.25" customHeight="1">
      <c r="A4" s="738"/>
      <c r="B4" s="310" t="s">
        <v>89</v>
      </c>
      <c r="C4" s="751" t="s">
        <v>112</v>
      </c>
      <c r="D4" s="751" t="s">
        <v>91</v>
      </c>
      <c r="E4" s="751" t="s">
        <v>92</v>
      </c>
      <c r="F4" s="751" t="s">
        <v>113</v>
      </c>
      <c r="G4" s="751" t="s">
        <v>114</v>
      </c>
      <c r="H4" s="751" t="s">
        <v>115</v>
      </c>
      <c r="I4" s="364"/>
      <c r="J4" s="364"/>
      <c r="K4" s="364"/>
      <c r="L4" s="364"/>
      <c r="M4" s="364"/>
      <c r="N4" s="364"/>
      <c r="O4" s="364"/>
      <c r="P4" s="364"/>
      <c r="Q4" s="364"/>
      <c r="R4" s="364"/>
    </row>
    <row r="5" spans="1:18" s="365" customFormat="1" ht="28.5">
      <c r="A5" s="752">
        <v>1</v>
      </c>
      <c r="B5" s="753">
        <v>2</v>
      </c>
      <c r="C5" s="753">
        <v>4</v>
      </c>
      <c r="D5" s="752">
        <v>5</v>
      </c>
      <c r="E5" s="753">
        <v>6</v>
      </c>
      <c r="F5" s="752">
        <v>7</v>
      </c>
      <c r="G5" s="753">
        <v>8</v>
      </c>
      <c r="H5" s="753" t="s">
        <v>32</v>
      </c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18" s="365" customFormat="1" ht="14.25">
      <c r="A6" s="752"/>
      <c r="B6" s="753"/>
      <c r="C6" s="753"/>
      <c r="D6" s="752"/>
      <c r="E6" s="753"/>
      <c r="F6" s="752"/>
      <c r="G6" s="753"/>
      <c r="H6" s="754"/>
      <c r="I6" s="364"/>
      <c r="J6" s="364"/>
      <c r="K6" s="364"/>
      <c r="L6" s="364"/>
      <c r="M6" s="364"/>
      <c r="N6" s="364"/>
      <c r="O6" s="364"/>
      <c r="P6" s="364"/>
      <c r="Q6" s="364"/>
      <c r="R6" s="364"/>
    </row>
    <row r="7" spans="1:18" s="365" customFormat="1" ht="13.5">
      <c r="A7" s="738">
        <v>1</v>
      </c>
      <c r="B7" s="755" t="s">
        <v>118</v>
      </c>
      <c r="C7" s="756">
        <v>763.92</v>
      </c>
      <c r="D7" s="757">
        <f>74+19</f>
        <v>93</v>
      </c>
      <c r="E7" s="521">
        <v>252</v>
      </c>
      <c r="F7" s="678">
        <v>200.47</v>
      </c>
      <c r="G7" s="678">
        <f>30/1000</f>
        <v>0.03</v>
      </c>
      <c r="H7" s="793">
        <f>(D7+C7/0.8)*E7*F7*G7/1000</f>
        <v>1588.1481982799999</v>
      </c>
      <c r="I7" s="364"/>
      <c r="J7" s="364"/>
      <c r="K7" s="364"/>
      <c r="L7" s="364"/>
      <c r="M7" s="364"/>
      <c r="N7" s="364"/>
      <c r="O7" s="364"/>
      <c r="P7" s="364"/>
      <c r="Q7" s="364"/>
      <c r="R7" s="364"/>
    </row>
    <row r="8" spans="1:18" s="365" customFormat="1" ht="13.5">
      <c r="A8" s="738">
        <v>2</v>
      </c>
      <c r="B8" s="755" t="s">
        <v>119</v>
      </c>
      <c r="C8" s="756">
        <f>96+78</f>
        <v>174</v>
      </c>
      <c r="D8" s="757">
        <f>17+9+9</f>
        <v>35</v>
      </c>
      <c r="E8" s="773">
        <v>252</v>
      </c>
      <c r="F8" s="678">
        <v>200.47</v>
      </c>
      <c r="G8" s="678">
        <f>30/1000</f>
        <v>0.03</v>
      </c>
      <c r="H8" s="793">
        <f>(D8+C8/0.8)*E8*F8*G8/1000</f>
        <v>382.67718299999996</v>
      </c>
      <c r="I8" s="364"/>
      <c r="J8" s="364"/>
      <c r="K8" s="364"/>
      <c r="L8" s="364"/>
      <c r="M8" s="364"/>
      <c r="N8" s="364"/>
      <c r="O8" s="364"/>
      <c r="P8" s="364"/>
      <c r="Q8" s="364"/>
      <c r="R8" s="364"/>
    </row>
    <row r="9" spans="1:18" s="367" customFormat="1" ht="14.25">
      <c r="A9" s="752"/>
      <c r="B9" s="758" t="s">
        <v>75</v>
      </c>
      <c r="C9" s="759">
        <f>SUM(C7:C8)</f>
        <v>937.92</v>
      </c>
      <c r="D9" s="760">
        <f>SUM(D7:D8)</f>
        <v>128</v>
      </c>
      <c r="E9" s="761" t="s">
        <v>7</v>
      </c>
      <c r="F9" s="761" t="s">
        <v>7</v>
      </c>
      <c r="G9" s="761" t="s">
        <v>7</v>
      </c>
      <c r="H9" s="794">
        <f>SUM(H7:H8)</f>
        <v>1970.8253812799999</v>
      </c>
      <c r="I9" s="366"/>
      <c r="J9" s="366"/>
      <c r="K9" s="366"/>
      <c r="L9" s="366"/>
      <c r="M9" s="366"/>
      <c r="N9" s="366"/>
      <c r="O9" s="366"/>
      <c r="P9" s="366"/>
      <c r="Q9" s="366"/>
      <c r="R9" s="366"/>
    </row>
    <row r="10" spans="1:18">
      <c r="A10" s="392"/>
      <c r="B10" s="762"/>
      <c r="C10" s="392"/>
      <c r="D10" s="392"/>
      <c r="E10" s="392"/>
      <c r="F10" s="392"/>
      <c r="G10" s="392"/>
      <c r="H10" s="392"/>
    </row>
    <row r="11" spans="1:18" s="227" customFormat="1" ht="13.5">
      <c r="B11" s="148" t="s">
        <v>82</v>
      </c>
      <c r="C11" s="148"/>
      <c r="D11" s="148"/>
      <c r="E11" s="148"/>
      <c r="F11" s="148"/>
      <c r="G11" s="148"/>
      <c r="H11" s="148"/>
      <c r="M11" s="148"/>
      <c r="N11" s="148"/>
    </row>
    <row r="12" spans="1:18" s="227" customFormat="1" ht="29.25" customHeight="1">
      <c r="B12" s="830" t="s">
        <v>79</v>
      </c>
      <c r="C12" s="831"/>
      <c r="D12" s="228" t="s">
        <v>83</v>
      </c>
      <c r="E12" s="229" t="s">
        <v>84</v>
      </c>
      <c r="F12" s="229" t="s">
        <v>85</v>
      </c>
      <c r="G12" s="229" t="s">
        <v>86</v>
      </c>
      <c r="H12" s="229" t="s">
        <v>87</v>
      </c>
      <c r="M12" s="148"/>
      <c r="N12" s="148"/>
    </row>
    <row r="13" spans="1:18" s="227" customFormat="1" ht="14.25">
      <c r="B13" s="834"/>
      <c r="C13" s="835"/>
      <c r="D13" s="229"/>
      <c r="E13" s="229"/>
      <c r="F13" s="229"/>
      <c r="G13" s="229"/>
      <c r="H13" s="232">
        <f>SUM(D13:G13)</f>
        <v>0</v>
      </c>
      <c r="M13" s="148"/>
      <c r="N13" s="148"/>
    </row>
    <row r="14" spans="1:18" s="227" customFormat="1" ht="28.5" customHeight="1">
      <c r="B14" s="834" t="s">
        <v>238</v>
      </c>
      <c r="C14" s="835"/>
      <c r="D14" s="806">
        <v>14</v>
      </c>
      <c r="E14" s="804">
        <v>52</v>
      </c>
      <c r="F14" s="804">
        <v>28</v>
      </c>
      <c r="G14" s="804">
        <v>34</v>
      </c>
      <c r="H14" s="805">
        <f>SUM(D14:G14)</f>
        <v>128</v>
      </c>
      <c r="M14" s="148"/>
      <c r="N14" s="148"/>
    </row>
    <row r="15" spans="1:18" s="227" customFormat="1" ht="14.25">
      <c r="B15" s="233" t="s">
        <v>75</v>
      </c>
      <c r="C15" s="228"/>
      <c r="D15" s="234">
        <f>+D13+D14</f>
        <v>14</v>
      </c>
      <c r="E15" s="234">
        <f>+E13+E14</f>
        <v>52</v>
      </c>
      <c r="F15" s="234">
        <f>+F13+F14</f>
        <v>28</v>
      </c>
      <c r="G15" s="234">
        <f>+G13+G14</f>
        <v>34</v>
      </c>
      <c r="H15" s="234">
        <f>+H13+H14</f>
        <v>128</v>
      </c>
      <c r="M15" s="148"/>
      <c r="N15" s="148"/>
    </row>
    <row r="16" spans="1:18">
      <c r="A16" s="392"/>
      <c r="B16" s="762"/>
      <c r="C16" s="392"/>
      <c r="D16" s="392"/>
      <c r="E16" s="392"/>
      <c r="F16" s="392"/>
      <c r="G16" s="392"/>
      <c r="H16" s="392"/>
    </row>
    <row r="17" spans="1:8">
      <c r="A17" s="392"/>
      <c r="B17" s="245" t="s">
        <v>149</v>
      </c>
      <c r="C17" s="392"/>
      <c r="D17" s="392"/>
      <c r="E17" s="392"/>
      <c r="F17" s="392"/>
      <c r="G17" s="392"/>
      <c r="H17" s="392"/>
    </row>
    <row r="18" spans="1:8">
      <c r="A18" s="392"/>
      <c r="B18" s="762"/>
      <c r="C18" s="392"/>
      <c r="D18" s="392"/>
      <c r="E18" s="392"/>
      <c r="F18" s="392"/>
      <c r="G18" s="392"/>
      <c r="H18" s="392"/>
    </row>
    <row r="19" spans="1:8" ht="71.25" customHeight="1">
      <c r="A19" s="372" t="s">
        <v>34</v>
      </c>
      <c r="B19" s="237" t="s">
        <v>106</v>
      </c>
      <c r="C19" s="237" t="s">
        <v>96</v>
      </c>
      <c r="D19" s="237" t="s">
        <v>97</v>
      </c>
      <c r="E19" s="237" t="s">
        <v>107</v>
      </c>
      <c r="F19" s="237" t="s">
        <v>108</v>
      </c>
      <c r="G19" s="237" t="s">
        <v>109</v>
      </c>
      <c r="H19" s="237" t="s">
        <v>101</v>
      </c>
    </row>
    <row r="20" spans="1:8" ht="68.25">
      <c r="A20" s="373">
        <v>1</v>
      </c>
      <c r="B20" s="373" t="s">
        <v>116</v>
      </c>
      <c r="C20" s="225" t="s">
        <v>175</v>
      </c>
      <c r="D20" s="358" t="s">
        <v>94</v>
      </c>
      <c r="E20" s="373">
        <v>850</v>
      </c>
      <c r="F20" s="373">
        <v>20</v>
      </c>
      <c r="G20" s="373">
        <v>12</v>
      </c>
      <c r="H20" s="373">
        <f>E20*F20*G20/1000</f>
        <v>204</v>
      </c>
    </row>
    <row r="21" spans="1:8" ht="68.25">
      <c r="A21" s="373">
        <v>2</v>
      </c>
      <c r="B21" s="373" t="s">
        <v>117</v>
      </c>
      <c r="C21" s="225" t="s">
        <v>175</v>
      </c>
      <c r="D21" s="358" t="s">
        <v>94</v>
      </c>
      <c r="E21" s="373">
        <v>400</v>
      </c>
      <c r="F21" s="373">
        <v>20</v>
      </c>
      <c r="G21" s="373">
        <v>12</v>
      </c>
      <c r="H21" s="373">
        <f>E21*F21*G21/1000</f>
        <v>96</v>
      </c>
    </row>
    <row r="22" spans="1:8">
      <c r="A22" s="373"/>
      <c r="B22" s="374" t="s">
        <v>75</v>
      </c>
      <c r="C22" s="373"/>
      <c r="D22" s="373"/>
      <c r="E22" s="373"/>
      <c r="F22" s="373"/>
      <c r="G22" s="373"/>
      <c r="H22" s="375">
        <f>SUM(H20:H21)</f>
        <v>300</v>
      </c>
    </row>
    <row r="23" spans="1:8">
      <c r="C23" s="362"/>
      <c r="D23" s="362"/>
      <c r="E23" s="362"/>
      <c r="F23" s="362"/>
      <c r="G23" s="370"/>
      <c r="H23" s="371"/>
    </row>
  </sheetData>
  <mergeCells count="4">
    <mergeCell ref="B12:C12"/>
    <mergeCell ref="B14:C14"/>
    <mergeCell ref="B13:C13"/>
    <mergeCell ref="B2:H2"/>
  </mergeCells>
  <pageMargins left="0.57999999999999996" right="0.19" top="0.38" bottom="0.22" header="0.27" footer="0.18"/>
  <pageSetup scale="87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S23"/>
  <sheetViews>
    <sheetView zoomScaleNormal="100" workbookViewId="0">
      <selection activeCell="D14" sqref="D14:G14"/>
    </sheetView>
  </sheetViews>
  <sheetFormatPr defaultColWidth="9.140625" defaultRowHeight="13.5"/>
  <cols>
    <col min="1" max="1" width="4.28515625" style="377" customWidth="1"/>
    <col min="2" max="2" width="16.5703125" style="377" customWidth="1"/>
    <col min="3" max="3" width="41.5703125" style="377" customWidth="1"/>
    <col min="4" max="4" width="9" style="377" customWidth="1"/>
    <col min="5" max="5" width="9.28515625" style="377" customWidth="1"/>
    <col min="6" max="6" width="9.42578125" style="377" customWidth="1"/>
    <col min="7" max="7" width="12.42578125" style="378" customWidth="1"/>
    <col min="8" max="8" width="14.140625" style="378" customWidth="1"/>
    <col min="9" max="9" width="10.140625" style="378" bestFit="1" customWidth="1"/>
    <col min="10" max="16384" width="9.140625" style="378"/>
  </cols>
  <sheetData>
    <row r="1" spans="1:19" s="204" customFormat="1" ht="30.75" customHeight="1" thickBot="1">
      <c r="B1" s="205" t="s">
        <v>141</v>
      </c>
      <c r="C1" s="298" t="s">
        <v>239</v>
      </c>
      <c r="D1" s="207"/>
      <c r="E1" s="207"/>
      <c r="F1" s="207"/>
      <c r="G1" s="257"/>
      <c r="H1" s="258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</row>
    <row r="2" spans="1:19" s="259" customFormat="1" ht="31.5" customHeight="1">
      <c r="A2" s="210"/>
      <c r="B2" s="836" t="s">
        <v>150</v>
      </c>
      <c r="C2" s="836"/>
      <c r="D2" s="836"/>
      <c r="E2" s="836"/>
      <c r="F2" s="836"/>
      <c r="G2" s="836"/>
      <c r="H2" s="836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</row>
    <row r="3" spans="1:19" s="262" customFormat="1">
      <c r="A3" s="260"/>
      <c r="B3" s="261"/>
      <c r="C3" s="261"/>
      <c r="D3" s="261"/>
      <c r="E3" s="261"/>
      <c r="F3" s="261"/>
      <c r="G3" s="261"/>
      <c r="H3" s="261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</row>
    <row r="4" spans="1:19" s="270" customFormat="1" ht="36.6" customHeight="1">
      <c r="A4" s="738"/>
      <c r="B4" s="310" t="s">
        <v>89</v>
      </c>
      <c r="C4" s="311" t="s">
        <v>112</v>
      </c>
      <c r="D4" s="311" t="s">
        <v>91</v>
      </c>
      <c r="E4" s="311" t="s">
        <v>92</v>
      </c>
      <c r="F4" s="311" t="s">
        <v>113</v>
      </c>
      <c r="G4" s="311" t="s">
        <v>114</v>
      </c>
      <c r="H4" s="311" t="s">
        <v>115</v>
      </c>
    </row>
    <row r="5" spans="1:19" s="270" customFormat="1" ht="28.5">
      <c r="A5" s="739">
        <v>1</v>
      </c>
      <c r="B5" s="740">
        <v>2</v>
      </c>
      <c r="C5" s="740">
        <v>4</v>
      </c>
      <c r="D5" s="739">
        <v>5</v>
      </c>
      <c r="E5" s="740">
        <v>6</v>
      </c>
      <c r="F5" s="739">
        <v>7</v>
      </c>
      <c r="G5" s="740">
        <v>8</v>
      </c>
      <c r="H5" s="740" t="s">
        <v>32</v>
      </c>
    </row>
    <row r="6" spans="1:19" s="270" customFormat="1" ht="14.25">
      <c r="A6" s="739"/>
      <c r="B6" s="740"/>
      <c r="C6" s="740"/>
      <c r="D6" s="739"/>
      <c r="E6" s="740"/>
      <c r="F6" s="739"/>
      <c r="G6" s="740"/>
      <c r="H6" s="741"/>
    </row>
    <row r="7" spans="1:19" s="270" customFormat="1">
      <c r="A7" s="742">
        <v>1</v>
      </c>
      <c r="B7" s="763" t="s">
        <v>111</v>
      </c>
      <c r="C7" s="764">
        <f>115+173.3</f>
        <v>288.3</v>
      </c>
      <c r="D7" s="765">
        <f>31+7</f>
        <v>38</v>
      </c>
      <c r="E7" s="521">
        <v>252</v>
      </c>
      <c r="F7" s="220">
        <v>200.47</v>
      </c>
      <c r="G7" s="220">
        <f>30/1000</f>
        <v>0.03</v>
      </c>
      <c r="H7" s="792">
        <f>(D7+C7/0.8)*E7*F7*G7/1000</f>
        <v>603.75850604999994</v>
      </c>
    </row>
    <row r="8" spans="1:19" s="270" customFormat="1">
      <c r="A8" s="742">
        <v>2</v>
      </c>
      <c r="B8" s="763" t="s">
        <v>110</v>
      </c>
      <c r="C8" s="764">
        <v>240</v>
      </c>
      <c r="D8" s="765">
        <f>53+12</f>
        <v>65</v>
      </c>
      <c r="E8" s="773">
        <v>252</v>
      </c>
      <c r="F8" s="220">
        <v>200.47</v>
      </c>
      <c r="G8" s="220">
        <f>30/1000</f>
        <v>0.03</v>
      </c>
      <c r="H8" s="792">
        <f>(D8+C8/0.8)*E8*F8*G8/1000</f>
        <v>553.17691800000011</v>
      </c>
    </row>
    <row r="9" spans="1:19" s="281" customFormat="1" ht="14.25">
      <c r="A9" s="739"/>
      <c r="B9" s="745" t="s">
        <v>75</v>
      </c>
      <c r="C9" s="746">
        <f>SUM(C7:C8)</f>
        <v>528.29999999999995</v>
      </c>
      <c r="D9" s="747">
        <f>SUM(D7:D8)</f>
        <v>103</v>
      </c>
      <c r="E9" s="740" t="s">
        <v>7</v>
      </c>
      <c r="F9" s="740" t="s">
        <v>7</v>
      </c>
      <c r="G9" s="740" t="s">
        <v>7</v>
      </c>
      <c r="H9" s="746">
        <f>SUM(H7:H8)</f>
        <v>1156.9354240500002</v>
      </c>
    </row>
    <row r="11" spans="1:19" s="227" customFormat="1">
      <c r="B11" s="148" t="s">
        <v>82</v>
      </c>
      <c r="C11" s="148"/>
      <c r="D11" s="148"/>
      <c r="E11" s="148"/>
      <c r="F11" s="148"/>
      <c r="G11" s="148"/>
      <c r="H11" s="148"/>
      <c r="M11" s="148"/>
      <c r="N11" s="148"/>
    </row>
    <row r="12" spans="1:19" s="227" customFormat="1" ht="29.25" customHeight="1">
      <c r="B12" s="830" t="s">
        <v>79</v>
      </c>
      <c r="C12" s="831"/>
      <c r="D12" s="228" t="s">
        <v>83</v>
      </c>
      <c r="E12" s="229" t="s">
        <v>84</v>
      </c>
      <c r="F12" s="229" t="s">
        <v>85</v>
      </c>
      <c r="G12" s="229" t="s">
        <v>86</v>
      </c>
      <c r="H12" s="229" t="s">
        <v>87</v>
      </c>
      <c r="M12" s="148"/>
      <c r="N12" s="148"/>
    </row>
    <row r="13" spans="1:19" s="227" customFormat="1" ht="14.25">
      <c r="B13" s="837"/>
      <c r="C13" s="838"/>
      <c r="D13" s="229"/>
      <c r="E13" s="229"/>
      <c r="F13" s="229"/>
      <c r="G13" s="229"/>
      <c r="H13" s="232">
        <f>SUM(D13:G13)</f>
        <v>0</v>
      </c>
      <c r="M13" s="148"/>
      <c r="N13" s="148"/>
    </row>
    <row r="14" spans="1:19" s="227" customFormat="1" ht="26.25" customHeight="1">
      <c r="B14" s="834" t="s">
        <v>239</v>
      </c>
      <c r="C14" s="835"/>
      <c r="D14" s="806">
        <v>11</v>
      </c>
      <c r="E14" s="804">
        <v>42</v>
      </c>
      <c r="F14" s="804">
        <v>17</v>
      </c>
      <c r="G14" s="804">
        <v>33</v>
      </c>
      <c r="H14" s="805">
        <f>SUM(D14:G14)</f>
        <v>103</v>
      </c>
      <c r="M14" s="148"/>
      <c r="N14" s="148"/>
    </row>
    <row r="15" spans="1:19" s="227" customFormat="1" ht="14.25">
      <c r="B15" s="233" t="s">
        <v>75</v>
      </c>
      <c r="C15" s="228"/>
      <c r="D15" s="234">
        <f>+D13+D14</f>
        <v>11</v>
      </c>
      <c r="E15" s="234">
        <f>+E13+E14</f>
        <v>42</v>
      </c>
      <c r="F15" s="234">
        <f>+F13+F14</f>
        <v>17</v>
      </c>
      <c r="G15" s="234">
        <f>+G13+G14</f>
        <v>33</v>
      </c>
      <c r="H15" s="234">
        <f>+H13+H14</f>
        <v>103</v>
      </c>
      <c r="M15" s="148"/>
      <c r="N15" s="148"/>
    </row>
    <row r="16" spans="1:19" s="281" customFormat="1" ht="14.25">
      <c r="A16" s="766"/>
      <c r="B16" s="766"/>
      <c r="C16" s="766"/>
      <c r="D16" s="766"/>
      <c r="E16" s="766"/>
      <c r="F16" s="766"/>
      <c r="G16" s="766"/>
      <c r="H16" s="766"/>
      <c r="I16" s="376"/>
    </row>
    <row r="17" spans="1:18" s="281" customFormat="1" ht="14.25">
      <c r="A17" s="766"/>
      <c r="B17" s="245" t="s">
        <v>149</v>
      </c>
      <c r="C17" s="766"/>
      <c r="D17" s="766"/>
      <c r="E17" s="766"/>
      <c r="F17" s="766"/>
      <c r="G17" s="766"/>
      <c r="H17" s="766"/>
      <c r="I17" s="376"/>
    </row>
    <row r="18" spans="1:18">
      <c r="L18" s="281"/>
      <c r="M18" s="281"/>
      <c r="N18" s="281"/>
      <c r="O18" s="281"/>
      <c r="P18" s="281"/>
      <c r="Q18" s="281"/>
    </row>
    <row r="19" spans="1:18" s="379" customFormat="1" ht="40.5">
      <c r="A19" s="385" t="s">
        <v>34</v>
      </c>
      <c r="B19" s="265" t="s">
        <v>106</v>
      </c>
      <c r="C19" s="265" t="s">
        <v>96</v>
      </c>
      <c r="D19" s="265" t="s">
        <v>97</v>
      </c>
      <c r="E19" s="265" t="s">
        <v>107</v>
      </c>
      <c r="F19" s="265" t="s">
        <v>108</v>
      </c>
      <c r="G19" s="265" t="s">
        <v>109</v>
      </c>
      <c r="H19" s="265" t="s">
        <v>101</v>
      </c>
      <c r="L19" s="281"/>
      <c r="M19" s="281"/>
      <c r="N19" s="281"/>
      <c r="O19" s="281"/>
      <c r="P19" s="281"/>
      <c r="Q19" s="281"/>
      <c r="R19" s="380"/>
    </row>
    <row r="20" spans="1:18" s="381" customFormat="1" ht="54">
      <c r="A20" s="386">
        <v>1</v>
      </c>
      <c r="B20" s="386" t="s">
        <v>111</v>
      </c>
      <c r="C20" s="293" t="s">
        <v>175</v>
      </c>
      <c r="D20" s="313" t="s">
        <v>94</v>
      </c>
      <c r="E20" s="386">
        <v>450</v>
      </c>
      <c r="F20" s="387">
        <v>20</v>
      </c>
      <c r="G20" s="387">
        <v>12</v>
      </c>
      <c r="H20" s="388">
        <f>E20*F20*G20/1000</f>
        <v>108</v>
      </c>
    </row>
    <row r="21" spans="1:18" s="381" customFormat="1" ht="54">
      <c r="A21" s="386">
        <v>2</v>
      </c>
      <c r="B21" s="386" t="s">
        <v>110</v>
      </c>
      <c r="C21" s="293" t="s">
        <v>175</v>
      </c>
      <c r="D21" s="313" t="s">
        <v>94</v>
      </c>
      <c r="E21" s="386">
        <v>550</v>
      </c>
      <c r="F21" s="387">
        <v>20</v>
      </c>
      <c r="G21" s="387">
        <v>12</v>
      </c>
      <c r="H21" s="388">
        <f>E21*F21*G21/1000</f>
        <v>132</v>
      </c>
    </row>
    <row r="22" spans="1:18" s="379" customFormat="1" ht="17.25">
      <c r="A22" s="385"/>
      <c r="B22" s="389" t="s">
        <v>75</v>
      </c>
      <c r="C22" s="385"/>
      <c r="D22" s="266"/>
      <c r="E22" s="385"/>
      <c r="F22" s="390"/>
      <c r="G22" s="390"/>
      <c r="H22" s="391">
        <f>SUM(H20:H21)</f>
        <v>240</v>
      </c>
      <c r="J22" s="382"/>
    </row>
    <row r="23" spans="1:18" ht="17.25">
      <c r="A23" s="379"/>
      <c r="B23" s="379"/>
      <c r="C23" s="379"/>
      <c r="D23" s="379"/>
      <c r="E23" s="379"/>
      <c r="F23" s="379"/>
      <c r="G23" s="383"/>
      <c r="H23" s="384"/>
    </row>
  </sheetData>
  <mergeCells count="4">
    <mergeCell ref="B12:C12"/>
    <mergeCell ref="B14:C14"/>
    <mergeCell ref="B13:C13"/>
    <mergeCell ref="B2:H2"/>
  </mergeCells>
  <pageMargins left="0.43" right="0.15" top="1" bottom="1" header="0.5" footer="0.5"/>
  <pageSetup scale="8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X30"/>
  <sheetViews>
    <sheetView topLeftCell="A4" zoomScaleNormal="100" workbookViewId="0">
      <selection activeCell="D16" sqref="D16:G16"/>
    </sheetView>
  </sheetViews>
  <sheetFormatPr defaultColWidth="9.140625" defaultRowHeight="13.5"/>
  <cols>
    <col min="1" max="1" width="2.85546875" style="403" customWidth="1"/>
    <col min="2" max="2" width="15" style="403" customWidth="1"/>
    <col min="3" max="3" width="41.28515625" style="403" customWidth="1"/>
    <col min="4" max="4" width="10" style="403" customWidth="1"/>
    <col min="5" max="5" width="10.85546875" style="403" customWidth="1"/>
    <col min="6" max="6" width="10.5703125" style="403" customWidth="1"/>
    <col min="7" max="7" width="9.42578125" style="394" customWidth="1"/>
    <col min="8" max="8" width="9.7109375" style="394" customWidth="1"/>
    <col min="9" max="24" width="9.140625" style="393"/>
    <col min="25" max="16384" width="9.140625" style="394"/>
  </cols>
  <sheetData>
    <row r="1" spans="1:24" s="204" customFormat="1" ht="30.75" customHeight="1" thickBot="1">
      <c r="B1" s="205" t="s">
        <v>141</v>
      </c>
      <c r="C1" s="298" t="s">
        <v>240</v>
      </c>
      <c r="D1" s="207"/>
      <c r="E1" s="207"/>
      <c r="F1" s="207"/>
      <c r="G1" s="207"/>
      <c r="H1" s="258"/>
      <c r="I1" s="361"/>
      <c r="J1" s="361"/>
      <c r="K1" s="361"/>
      <c r="L1" s="361"/>
      <c r="M1" s="361"/>
      <c r="N1" s="361"/>
      <c r="O1" s="361"/>
      <c r="P1" s="361"/>
      <c r="Q1" s="361"/>
      <c r="R1" s="361"/>
    </row>
    <row r="2" spans="1:24" s="238" customFormat="1" ht="33.75" customHeight="1">
      <c r="A2" s="227"/>
      <c r="B2" s="836" t="s">
        <v>150</v>
      </c>
      <c r="C2" s="836"/>
      <c r="D2" s="836"/>
      <c r="E2" s="836"/>
      <c r="F2" s="836"/>
      <c r="G2" s="836"/>
      <c r="H2" s="836"/>
      <c r="I2" s="796"/>
      <c r="J2" s="392"/>
      <c r="K2" s="392"/>
      <c r="L2" s="392"/>
      <c r="M2" s="392"/>
      <c r="N2" s="392"/>
      <c r="O2" s="392"/>
      <c r="P2" s="392"/>
      <c r="Q2" s="392"/>
      <c r="R2" s="392"/>
    </row>
    <row r="3" spans="1:24" s="262" customFormat="1">
      <c r="A3" s="260"/>
      <c r="B3" s="261"/>
      <c r="C3" s="261"/>
      <c r="D3" s="261"/>
      <c r="E3" s="261"/>
      <c r="F3" s="261"/>
      <c r="G3" s="261"/>
      <c r="H3" s="261"/>
      <c r="I3" s="363"/>
      <c r="J3" s="363"/>
      <c r="K3" s="363"/>
      <c r="L3" s="363"/>
      <c r="M3" s="363"/>
      <c r="N3" s="363"/>
      <c r="O3" s="363"/>
      <c r="P3" s="363"/>
      <c r="Q3" s="363"/>
      <c r="R3" s="363"/>
    </row>
    <row r="4" spans="1:24" ht="114">
      <c r="A4" s="332"/>
      <c r="B4" s="333" t="s">
        <v>89</v>
      </c>
      <c r="C4" s="334" t="s">
        <v>112</v>
      </c>
      <c r="D4" s="334" t="s">
        <v>91</v>
      </c>
      <c r="E4" s="334" t="s">
        <v>92</v>
      </c>
      <c r="F4" s="334" t="s">
        <v>113</v>
      </c>
      <c r="G4" s="334" t="s">
        <v>114</v>
      </c>
      <c r="H4" s="334" t="s">
        <v>115</v>
      </c>
      <c r="X4" s="394"/>
    </row>
    <row r="5" spans="1:24" ht="28.5">
      <c r="A5" s="335">
        <v>1</v>
      </c>
      <c r="B5" s="336">
        <v>2</v>
      </c>
      <c r="C5" s="336">
        <v>4</v>
      </c>
      <c r="D5" s="335">
        <v>5</v>
      </c>
      <c r="E5" s="336">
        <v>6</v>
      </c>
      <c r="F5" s="335">
        <v>7</v>
      </c>
      <c r="G5" s="336">
        <v>8</v>
      </c>
      <c r="H5" s="336" t="s">
        <v>32</v>
      </c>
      <c r="X5" s="394"/>
    </row>
    <row r="6" spans="1:24" ht="6.75" customHeight="1">
      <c r="A6" s="335"/>
      <c r="B6" s="336"/>
      <c r="C6" s="336"/>
      <c r="D6" s="335"/>
      <c r="E6" s="336"/>
      <c r="F6" s="335"/>
      <c r="G6" s="336"/>
      <c r="H6" s="395"/>
      <c r="X6" s="394"/>
    </row>
    <row r="7" spans="1:24">
      <c r="A7" s="338">
        <v>1</v>
      </c>
      <c r="B7" s="340" t="s">
        <v>202</v>
      </c>
      <c r="C7" s="737">
        <v>131</v>
      </c>
      <c r="D7" s="235">
        <v>27</v>
      </c>
      <c r="E7" s="521">
        <v>252</v>
      </c>
      <c r="F7" s="220">
        <v>200.47</v>
      </c>
      <c r="G7" s="338">
        <f>30/1000</f>
        <v>0.03</v>
      </c>
      <c r="H7" s="795">
        <f>(D7+C7/0.8)*E7*F7*G7/1000</f>
        <v>289.09177289999997</v>
      </c>
      <c r="X7" s="394"/>
    </row>
    <row r="8" spans="1:24">
      <c r="A8" s="338">
        <v>2</v>
      </c>
      <c r="B8" s="340" t="s">
        <v>203</v>
      </c>
      <c r="C8" s="737">
        <v>108</v>
      </c>
      <c r="D8" s="235">
        <v>35</v>
      </c>
      <c r="E8" s="773">
        <v>252</v>
      </c>
      <c r="F8" s="220">
        <v>200.47</v>
      </c>
      <c r="G8" s="338">
        <f>30/1000</f>
        <v>0.03</v>
      </c>
      <c r="H8" s="795">
        <f>(D8+C8/0.8)*E8*F8*G8/1000</f>
        <v>257.64404400000001</v>
      </c>
      <c r="X8" s="394"/>
    </row>
    <row r="9" spans="1:24">
      <c r="A9" s="338">
        <v>3</v>
      </c>
      <c r="B9" s="340" t="s">
        <v>204</v>
      </c>
      <c r="C9" s="737">
        <v>133</v>
      </c>
      <c r="D9" s="235">
        <f>21</f>
        <v>21</v>
      </c>
      <c r="E9" s="773">
        <v>252</v>
      </c>
      <c r="F9" s="220">
        <v>200.47</v>
      </c>
      <c r="G9" s="338">
        <f>30/1000</f>
        <v>0.03</v>
      </c>
      <c r="H9" s="795">
        <f>(D9+C9/0.8)*E9*F9*G9/1000</f>
        <v>283.78733669999997</v>
      </c>
      <c r="X9" s="394"/>
    </row>
    <row r="10" spans="1:24">
      <c r="A10" s="338">
        <v>4</v>
      </c>
      <c r="B10" s="340" t="s">
        <v>205</v>
      </c>
      <c r="C10" s="737">
        <v>230</v>
      </c>
      <c r="D10" s="235">
        <v>34</v>
      </c>
      <c r="E10" s="773">
        <v>252</v>
      </c>
      <c r="F10" s="220">
        <v>200.47</v>
      </c>
      <c r="G10" s="338">
        <f>30/1000</f>
        <v>0.03</v>
      </c>
      <c r="H10" s="795">
        <f>(D10+C10/0.8)*E10*F10*G10/1000</f>
        <v>487.25035379999991</v>
      </c>
      <c r="X10" s="394"/>
    </row>
    <row r="11" spans="1:24" s="397" customFormat="1" ht="14.25">
      <c r="A11" s="335"/>
      <c r="B11" s="343" t="s">
        <v>75</v>
      </c>
      <c r="C11" s="396">
        <f>SUM(C7:C10)</f>
        <v>602</v>
      </c>
      <c r="D11" s="416">
        <f>SUM(D7:D10)</f>
        <v>117</v>
      </c>
      <c r="E11" s="336" t="s">
        <v>7</v>
      </c>
      <c r="F11" s="336" t="s">
        <v>7</v>
      </c>
      <c r="G11" s="336" t="s">
        <v>7</v>
      </c>
      <c r="H11" s="396">
        <f>SUM(H7:H10)</f>
        <v>1317.7735073999997</v>
      </c>
      <c r="J11" s="398"/>
      <c r="K11" s="398"/>
      <c r="L11" s="398"/>
      <c r="M11" s="398"/>
      <c r="N11" s="398"/>
      <c r="O11" s="398"/>
      <c r="P11" s="398"/>
      <c r="Q11" s="398"/>
      <c r="R11" s="398"/>
      <c r="S11" s="398"/>
      <c r="T11" s="398"/>
      <c r="U11" s="398"/>
      <c r="V11" s="398"/>
      <c r="W11" s="398"/>
    </row>
    <row r="12" spans="1:24" s="397" customFormat="1" ht="14.25">
      <c r="A12" s="399"/>
      <c r="B12" s="399"/>
      <c r="C12" s="399"/>
      <c r="D12" s="399"/>
      <c r="E12" s="399"/>
      <c r="F12" s="399"/>
      <c r="G12" s="399"/>
      <c r="H12" s="399"/>
      <c r="I12" s="398"/>
      <c r="J12" s="398"/>
      <c r="K12" s="398"/>
      <c r="L12" s="398"/>
      <c r="M12" s="398"/>
      <c r="N12" s="398"/>
      <c r="O12" s="398"/>
      <c r="P12" s="398"/>
      <c r="Q12" s="398"/>
      <c r="R12" s="398"/>
      <c r="S12" s="398"/>
      <c r="T12" s="398"/>
      <c r="U12" s="398"/>
      <c r="V12" s="398"/>
      <c r="W12" s="398"/>
      <c r="X12" s="398"/>
    </row>
    <row r="13" spans="1:24" s="227" customFormat="1">
      <c r="B13" s="148" t="s">
        <v>82</v>
      </c>
      <c r="C13" s="148"/>
      <c r="D13" s="148"/>
      <c r="E13" s="148"/>
      <c r="F13" s="148"/>
      <c r="G13" s="148"/>
      <c r="H13" s="148"/>
      <c r="M13" s="148"/>
      <c r="N13" s="148"/>
    </row>
    <row r="14" spans="1:24" s="227" customFormat="1" ht="29.25" customHeight="1">
      <c r="B14" s="830" t="s">
        <v>79</v>
      </c>
      <c r="C14" s="831"/>
      <c r="D14" s="228" t="s">
        <v>83</v>
      </c>
      <c r="E14" s="229" t="s">
        <v>84</v>
      </c>
      <c r="F14" s="229" t="s">
        <v>85</v>
      </c>
      <c r="G14" s="229" t="s">
        <v>86</v>
      </c>
      <c r="H14" s="229" t="s">
        <v>87</v>
      </c>
      <c r="M14" s="148"/>
      <c r="N14" s="148"/>
    </row>
    <row r="15" spans="1:24" s="227" customFormat="1" ht="14.25">
      <c r="B15" s="837"/>
      <c r="C15" s="838"/>
      <c r="D15" s="229"/>
      <c r="E15" s="229"/>
      <c r="F15" s="229"/>
      <c r="G15" s="229"/>
      <c r="H15" s="232">
        <f>SUM(D15:G15)</f>
        <v>0</v>
      </c>
      <c r="M15" s="148"/>
      <c r="N15" s="148"/>
    </row>
    <row r="16" spans="1:24" s="227" customFormat="1" ht="27" customHeight="1">
      <c r="B16" s="834" t="s">
        <v>240</v>
      </c>
      <c r="C16" s="835"/>
      <c r="D16" s="806">
        <v>7</v>
      </c>
      <c r="E16" s="804">
        <v>33</v>
      </c>
      <c r="F16" s="804">
        <v>23</v>
      </c>
      <c r="G16" s="804">
        <v>54</v>
      </c>
      <c r="H16" s="805">
        <f>SUM(D16:G16)</f>
        <v>117</v>
      </c>
      <c r="M16" s="148"/>
      <c r="N16" s="148"/>
    </row>
    <row r="17" spans="1:24" s="227" customFormat="1" ht="14.25">
      <c r="B17" s="233" t="s">
        <v>75</v>
      </c>
      <c r="C17" s="228"/>
      <c r="D17" s="234">
        <f>+D15+D16</f>
        <v>7</v>
      </c>
      <c r="E17" s="234">
        <f>+E15+E16</f>
        <v>33</v>
      </c>
      <c r="F17" s="234">
        <f>+F15+F16</f>
        <v>23</v>
      </c>
      <c r="G17" s="234">
        <f>+G15+G16</f>
        <v>54</v>
      </c>
      <c r="H17" s="234">
        <f>+H15+H16</f>
        <v>117</v>
      </c>
      <c r="M17" s="148"/>
      <c r="N17" s="148"/>
    </row>
    <row r="18" spans="1:24" s="397" customFormat="1" ht="14.25">
      <c r="A18" s="399"/>
      <c r="B18" s="399"/>
      <c r="C18" s="399"/>
      <c r="D18" s="399"/>
      <c r="E18" s="399"/>
      <c r="F18" s="399"/>
      <c r="G18" s="399"/>
      <c r="H18" s="399"/>
      <c r="I18" s="398"/>
      <c r="J18" s="398"/>
      <c r="K18" s="398"/>
      <c r="L18" s="398"/>
      <c r="M18" s="398"/>
      <c r="N18" s="398"/>
      <c r="O18" s="398"/>
      <c r="P18" s="398"/>
      <c r="Q18" s="398"/>
      <c r="R18" s="398"/>
      <c r="S18" s="398"/>
      <c r="T18" s="398"/>
      <c r="U18" s="398"/>
      <c r="V18" s="398"/>
      <c r="W18" s="398"/>
      <c r="X18" s="398"/>
    </row>
    <row r="19" spans="1:24" s="397" customFormat="1" ht="14.25">
      <c r="A19" s="399"/>
      <c r="B19" s="399"/>
      <c r="C19" s="399"/>
      <c r="D19" s="399"/>
      <c r="E19" s="399"/>
      <c r="F19" s="399"/>
      <c r="G19" s="399"/>
      <c r="H19" s="399"/>
      <c r="I19" s="398"/>
      <c r="J19" s="398"/>
      <c r="K19" s="398"/>
      <c r="L19" s="398"/>
      <c r="M19" s="398"/>
      <c r="N19" s="398"/>
      <c r="O19" s="398"/>
      <c r="P19" s="398"/>
      <c r="Q19" s="398"/>
      <c r="R19" s="398"/>
      <c r="S19" s="398"/>
      <c r="T19" s="398"/>
      <c r="U19" s="398"/>
      <c r="V19" s="398"/>
      <c r="W19" s="398"/>
      <c r="X19" s="398"/>
    </row>
    <row r="20" spans="1:24" s="403" customFormat="1" ht="14.25">
      <c r="A20" s="400"/>
      <c r="B20" s="245" t="s">
        <v>149</v>
      </c>
      <c r="C20" s="401"/>
      <c r="D20" s="401"/>
      <c r="E20" s="401"/>
      <c r="F20" s="401"/>
      <c r="G20" s="401"/>
      <c r="H20" s="401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2"/>
      <c r="X20" s="402"/>
    </row>
    <row r="21" spans="1:24" s="407" customFormat="1">
      <c r="A21" s="404"/>
      <c r="B21" s="405"/>
      <c r="C21" s="405"/>
      <c r="D21" s="405"/>
      <c r="E21" s="405"/>
      <c r="F21" s="405"/>
      <c r="G21" s="405"/>
      <c r="H21" s="405"/>
      <c r="I21" s="406"/>
      <c r="J21" s="406"/>
      <c r="K21" s="406"/>
      <c r="L21" s="406"/>
      <c r="M21" s="406"/>
      <c r="N21" s="406"/>
      <c r="O21" s="406"/>
      <c r="P21" s="406"/>
      <c r="Q21" s="406"/>
      <c r="R21" s="406"/>
      <c r="S21" s="406"/>
      <c r="T21" s="406"/>
      <c r="U21" s="406"/>
      <c r="V21" s="406"/>
      <c r="W21" s="406"/>
      <c r="X21" s="406"/>
    </row>
    <row r="22" spans="1:24" s="410" customFormat="1" ht="71.25" customHeight="1">
      <c r="A22" s="414" t="s">
        <v>34</v>
      </c>
      <c r="B22" s="409" t="s">
        <v>106</v>
      </c>
      <c r="C22" s="409" t="s">
        <v>96</v>
      </c>
      <c r="D22" s="409" t="s">
        <v>97</v>
      </c>
      <c r="E22" s="409" t="s">
        <v>107</v>
      </c>
      <c r="F22" s="409" t="s">
        <v>108</v>
      </c>
      <c r="G22" s="409" t="s">
        <v>109</v>
      </c>
      <c r="H22" s="409" t="s">
        <v>187</v>
      </c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  <c r="T22" s="393"/>
      <c r="U22" s="393"/>
      <c r="V22" s="393"/>
      <c r="W22" s="393"/>
      <c r="X22" s="393"/>
    </row>
    <row r="23" spans="1:24" s="410" customFormat="1" ht="73.5" customHeight="1">
      <c r="A23" s="414">
        <v>1</v>
      </c>
      <c r="B23" s="412" t="s">
        <v>103</v>
      </c>
      <c r="C23" s="293" t="s">
        <v>175</v>
      </c>
      <c r="D23" s="414" t="s">
        <v>94</v>
      </c>
      <c r="E23" s="414">
        <v>400</v>
      </c>
      <c r="F23" s="414">
        <v>20</v>
      </c>
      <c r="G23" s="414">
        <v>12</v>
      </c>
      <c r="H23" s="414">
        <f>E23*F23*G23/1000</f>
        <v>96</v>
      </c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  <c r="T23" s="393"/>
      <c r="U23" s="393"/>
      <c r="V23" s="393"/>
      <c r="W23" s="393"/>
      <c r="X23" s="393"/>
    </row>
    <row r="24" spans="1:24" s="410" customFormat="1" ht="73.5" customHeight="1">
      <c r="A24" s="414">
        <v>2</v>
      </c>
      <c r="B24" s="412" t="s">
        <v>105</v>
      </c>
      <c r="C24" s="293" t="s">
        <v>175</v>
      </c>
      <c r="D24" s="414" t="s">
        <v>94</v>
      </c>
      <c r="E24" s="414">
        <v>270</v>
      </c>
      <c r="F24" s="414">
        <v>20</v>
      </c>
      <c r="G24" s="414">
        <v>12</v>
      </c>
      <c r="H24" s="414">
        <f>E24*F24*G24/1000</f>
        <v>64.8</v>
      </c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</row>
    <row r="25" spans="1:24" s="410" customFormat="1" ht="73.5" customHeight="1">
      <c r="A25" s="414">
        <v>3</v>
      </c>
      <c r="B25" s="412" t="s">
        <v>104</v>
      </c>
      <c r="C25" s="293" t="s">
        <v>175</v>
      </c>
      <c r="D25" s="414" t="s">
        <v>94</v>
      </c>
      <c r="E25" s="414">
        <v>200</v>
      </c>
      <c r="F25" s="414">
        <v>20</v>
      </c>
      <c r="G25" s="414">
        <v>12</v>
      </c>
      <c r="H25" s="414">
        <f>E25*F25*G25/1000</f>
        <v>48</v>
      </c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  <c r="T25" s="393"/>
      <c r="U25" s="393"/>
      <c r="V25" s="393"/>
      <c r="W25" s="393"/>
      <c r="X25" s="393"/>
    </row>
    <row r="26" spans="1:24" s="410" customFormat="1" ht="73.5" customHeight="1">
      <c r="A26" s="414">
        <v>4</v>
      </c>
      <c r="B26" s="412" t="s">
        <v>102</v>
      </c>
      <c r="C26" s="293" t="s">
        <v>175</v>
      </c>
      <c r="D26" s="414" t="s">
        <v>94</v>
      </c>
      <c r="E26" s="414">
        <v>300</v>
      </c>
      <c r="F26" s="414">
        <v>20</v>
      </c>
      <c r="G26" s="414">
        <v>12</v>
      </c>
      <c r="H26" s="414">
        <f>E26*F26*G26/1000</f>
        <v>72</v>
      </c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</row>
    <row r="27" spans="1:24" s="410" customFormat="1" ht="14.25">
      <c r="A27" s="411"/>
      <c r="B27" s="413" t="s">
        <v>75</v>
      </c>
      <c r="C27" s="408"/>
      <c r="D27" s="408"/>
      <c r="E27" s="408"/>
      <c r="F27" s="408"/>
      <c r="G27" s="408"/>
      <c r="H27" s="413">
        <f>SUM(H23:H26)</f>
        <v>280.8</v>
      </c>
      <c r="I27" s="393"/>
      <c r="J27" s="393"/>
      <c r="K27" s="393"/>
      <c r="L27" s="393"/>
      <c r="M27" s="393"/>
      <c r="N27" s="393"/>
      <c r="O27" s="393"/>
      <c r="P27" s="393"/>
      <c r="Q27" s="393"/>
      <c r="R27" s="393"/>
      <c r="S27" s="393"/>
      <c r="T27" s="393"/>
      <c r="U27" s="393"/>
      <c r="V27" s="393"/>
      <c r="W27" s="393"/>
      <c r="X27" s="393"/>
    </row>
    <row r="28" spans="1:24" s="204" customFormat="1">
      <c r="A28" s="403"/>
      <c r="B28" s="403"/>
      <c r="C28" s="403"/>
      <c r="D28" s="403"/>
      <c r="E28" s="403"/>
      <c r="F28" s="403"/>
      <c r="G28" s="394"/>
      <c r="H28" s="394"/>
      <c r="I28" s="361"/>
      <c r="J28" s="361"/>
      <c r="K28" s="361"/>
      <c r="L28" s="361"/>
      <c r="M28" s="361"/>
      <c r="N28" s="361"/>
      <c r="O28" s="361"/>
      <c r="P28" s="361"/>
      <c r="Q28" s="361"/>
      <c r="R28" s="361"/>
      <c r="S28" s="361"/>
      <c r="T28" s="361"/>
      <c r="U28" s="361"/>
      <c r="V28" s="361"/>
      <c r="W28" s="361"/>
      <c r="X28" s="361"/>
    </row>
    <row r="29" spans="1:24" s="204" customFormat="1">
      <c r="A29" s="403"/>
      <c r="B29" s="403"/>
      <c r="C29" s="403"/>
      <c r="D29" s="403"/>
      <c r="E29" s="403"/>
      <c r="F29" s="403"/>
      <c r="G29" s="394"/>
      <c r="H29" s="394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1"/>
      <c r="X29" s="361"/>
    </row>
    <row r="30" spans="1:24" s="204" customFormat="1">
      <c r="A30" s="403"/>
      <c r="B30" s="403"/>
      <c r="C30" s="403"/>
      <c r="D30" s="403"/>
      <c r="E30" s="403"/>
      <c r="F30" s="403"/>
      <c r="G30" s="394"/>
      <c r="H30" s="394"/>
      <c r="I30" s="361"/>
      <c r="J30" s="361"/>
      <c r="K30" s="361"/>
      <c r="L30" s="361"/>
      <c r="M30" s="361"/>
      <c r="N30" s="361"/>
      <c r="O30" s="361"/>
      <c r="P30" s="361"/>
      <c r="Q30" s="361"/>
      <c r="R30" s="361"/>
      <c r="S30" s="361"/>
      <c r="T30" s="361"/>
      <c r="U30" s="361"/>
      <c r="V30" s="361"/>
      <c r="W30" s="361"/>
      <c r="X30" s="361"/>
    </row>
  </sheetData>
  <mergeCells count="4">
    <mergeCell ref="B14:C14"/>
    <mergeCell ref="B16:C16"/>
    <mergeCell ref="B15:C15"/>
    <mergeCell ref="B2:H2"/>
  </mergeCells>
  <pageMargins left="0.53" right="0.47" top="0.49" bottom="0.32" header="0.19" footer="0.2"/>
  <pageSetup scale="87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9" workbookViewId="0">
      <selection activeCell="C13" sqref="C13"/>
    </sheetView>
  </sheetViews>
  <sheetFormatPr defaultRowHeight="15"/>
  <cols>
    <col min="1" max="1" width="5.140625" bestFit="1" customWidth="1"/>
    <col min="2" max="2" width="43.7109375" customWidth="1"/>
    <col min="3" max="3" width="13" customWidth="1"/>
    <col min="4" max="4" width="14.5703125" style="474" customWidth="1"/>
    <col min="5" max="5" width="16" customWidth="1"/>
  </cols>
  <sheetData>
    <row r="1" spans="1:10" ht="17.25">
      <c r="A1" s="418"/>
      <c r="B1" s="419"/>
      <c r="C1" s="419"/>
      <c r="D1" s="420"/>
      <c r="E1" s="421"/>
      <c r="F1" s="422"/>
      <c r="G1" s="422"/>
      <c r="H1" s="422"/>
      <c r="I1" s="422"/>
    </row>
    <row r="2" spans="1:10" ht="17.25">
      <c r="A2" s="418"/>
      <c r="B2" s="423"/>
      <c r="C2" s="424"/>
      <c r="D2" s="425"/>
      <c r="E2" s="420"/>
      <c r="F2" s="426"/>
      <c r="G2" s="422"/>
      <c r="H2" s="422"/>
      <c r="I2" s="422"/>
    </row>
    <row r="3" spans="1:10" ht="18" thickBot="1">
      <c r="A3" s="427"/>
      <c r="B3" s="428" t="s">
        <v>148</v>
      </c>
      <c r="C3" s="429"/>
      <c r="D3" s="430"/>
      <c r="E3" s="431"/>
      <c r="F3" s="426"/>
      <c r="G3" s="422"/>
      <c r="H3" s="422"/>
      <c r="I3" s="422"/>
    </row>
    <row r="4" spans="1:10">
      <c r="A4" s="427"/>
      <c r="B4" s="427"/>
      <c r="C4" s="427"/>
      <c r="D4" s="432"/>
      <c r="E4" s="427"/>
      <c r="F4" s="426"/>
      <c r="G4" s="427"/>
      <c r="H4" s="427"/>
      <c r="I4" s="427"/>
    </row>
    <row r="5" spans="1:10" ht="16.5">
      <c r="A5" s="839" t="s">
        <v>214</v>
      </c>
      <c r="B5" s="839"/>
      <c r="C5" s="839"/>
      <c r="D5" s="839"/>
      <c r="E5" s="839"/>
      <c r="F5" s="426"/>
      <c r="G5" s="433"/>
      <c r="H5" s="433"/>
      <c r="I5" s="433"/>
    </row>
    <row r="6" spans="1:10" ht="33.75" customHeight="1">
      <c r="A6" s="840" t="s">
        <v>215</v>
      </c>
      <c r="B6" s="840"/>
      <c r="C6" s="840"/>
      <c r="D6" s="840"/>
      <c r="E6" s="840"/>
      <c r="F6" s="426"/>
      <c r="G6" s="433"/>
      <c r="H6" s="433"/>
      <c r="I6" s="433"/>
    </row>
    <row r="7" spans="1:10" ht="16.5">
      <c r="A7" s="434"/>
      <c r="B7" s="434"/>
      <c r="C7" s="434"/>
      <c r="D7" s="435"/>
      <c r="E7" s="434"/>
      <c r="F7" s="426"/>
      <c r="G7" s="433"/>
      <c r="H7" s="433"/>
      <c r="I7" s="433"/>
    </row>
    <row r="8" spans="1:10" ht="15.75" thickBot="1">
      <c r="A8" s="436"/>
      <c r="B8" s="437"/>
      <c r="C8" s="438"/>
      <c r="D8" s="439"/>
      <c r="E8" s="440" t="s">
        <v>45</v>
      </c>
      <c r="F8" s="426"/>
      <c r="G8" s="436"/>
      <c r="H8" s="436"/>
      <c r="I8" s="436"/>
    </row>
    <row r="9" spans="1:10" ht="15.75" thickBot="1">
      <c r="A9" s="441" t="s">
        <v>63</v>
      </c>
      <c r="B9" s="442" t="s">
        <v>76</v>
      </c>
      <c r="C9" s="442">
        <v>2019</v>
      </c>
      <c r="D9" s="442" t="s">
        <v>216</v>
      </c>
      <c r="E9" s="442" t="s">
        <v>217</v>
      </c>
      <c r="F9" s="426"/>
      <c r="G9" s="443"/>
      <c r="H9" s="443"/>
      <c r="I9" s="443"/>
    </row>
    <row r="10" spans="1:10" ht="15.75" thickBot="1">
      <c r="A10" s="444">
        <v>1</v>
      </c>
      <c r="B10" s="445">
        <v>2</v>
      </c>
      <c r="C10" s="445">
        <v>3</v>
      </c>
      <c r="D10" s="446">
        <v>4</v>
      </c>
      <c r="E10" s="447">
        <v>5</v>
      </c>
      <c r="F10" s="426"/>
      <c r="G10" s="443"/>
      <c r="H10" s="443"/>
      <c r="I10" s="443"/>
    </row>
    <row r="11" spans="1:10" ht="21" thickBot="1">
      <c r="A11" s="448"/>
      <c r="B11" s="449" t="s">
        <v>64</v>
      </c>
      <c r="C11" s="450">
        <f>SUM(C13:C35)</f>
        <v>24541.641660000001</v>
      </c>
      <c r="D11" s="450">
        <f t="shared" ref="D11:E11" si="0">SUM(D13:D35)</f>
        <v>24814.706400000003</v>
      </c>
      <c r="E11" s="450">
        <f t="shared" si="0"/>
        <v>16492.599999999999</v>
      </c>
      <c r="F11" s="426"/>
      <c r="G11" s="443"/>
      <c r="H11" s="451"/>
      <c r="I11" s="443"/>
    </row>
    <row r="12" spans="1:10">
      <c r="A12" s="452"/>
      <c r="B12" s="453" t="s">
        <v>65</v>
      </c>
      <c r="C12" s="454"/>
      <c r="D12" s="455"/>
      <c r="E12" s="456"/>
      <c r="F12" s="426"/>
      <c r="G12" s="443"/>
      <c r="H12" s="443"/>
      <c r="I12" s="443"/>
      <c r="J12" s="475"/>
    </row>
    <row r="13" spans="1:10">
      <c r="A13" s="457">
        <v>1</v>
      </c>
      <c r="B13" s="458" t="s">
        <v>46</v>
      </c>
      <c r="C13" s="459">
        <v>3137.6935199999998</v>
      </c>
      <c r="D13" s="459">
        <v>2452.9121999999998</v>
      </c>
      <c r="E13" s="459">
        <v>2208.5</v>
      </c>
      <c r="F13" s="460"/>
      <c r="G13" s="443"/>
      <c r="H13" s="460"/>
      <c r="I13" s="460"/>
      <c r="J13" s="475">
        <f>+C13-E13</f>
        <v>929.19351999999981</v>
      </c>
    </row>
    <row r="14" spans="1:10">
      <c r="A14" s="457">
        <v>2</v>
      </c>
      <c r="B14" s="458" t="s">
        <v>47</v>
      </c>
      <c r="C14" s="459">
        <v>1281.2795999999998</v>
      </c>
      <c r="D14" s="459">
        <v>1925.1</v>
      </c>
      <c r="E14" s="459">
        <v>1355.7</v>
      </c>
      <c r="F14" s="460"/>
      <c r="G14" s="443"/>
      <c r="H14" s="461"/>
      <c r="I14" s="462"/>
      <c r="J14" s="476">
        <f t="shared" ref="J14:J35" si="1">+C14-E14</f>
        <v>-74.4204000000002</v>
      </c>
    </row>
    <row r="15" spans="1:10">
      <c r="A15" s="457">
        <v>3</v>
      </c>
      <c r="B15" s="458" t="s">
        <v>48</v>
      </c>
      <c r="C15" s="459">
        <v>0</v>
      </c>
      <c r="D15" s="459">
        <v>0</v>
      </c>
      <c r="E15" s="459"/>
      <c r="F15" s="460"/>
      <c r="G15" s="443"/>
      <c r="H15" s="461"/>
      <c r="I15" s="462"/>
      <c r="J15" s="475">
        <f t="shared" si="1"/>
        <v>0</v>
      </c>
    </row>
    <row r="16" spans="1:10">
      <c r="A16" s="457">
        <v>4</v>
      </c>
      <c r="B16" s="458" t="s">
        <v>49</v>
      </c>
      <c r="C16" s="477">
        <v>2246.6754000000001</v>
      </c>
      <c r="D16" s="459">
        <v>2354.9831999999997</v>
      </c>
      <c r="E16" s="459">
        <v>3690.3</v>
      </c>
      <c r="F16" s="460"/>
      <c r="G16" s="443"/>
      <c r="H16" s="461"/>
      <c r="I16" s="460"/>
      <c r="J16" s="476">
        <f t="shared" si="1"/>
        <v>-1443.6246000000001</v>
      </c>
    </row>
    <row r="17" spans="1:10">
      <c r="A17" s="457">
        <v>5</v>
      </c>
      <c r="B17" s="458" t="s">
        <v>50</v>
      </c>
      <c r="C17" s="459">
        <v>0</v>
      </c>
      <c r="D17" s="459">
        <v>0</v>
      </c>
      <c r="E17" s="459"/>
      <c r="F17" s="460"/>
      <c r="G17" s="443"/>
      <c r="H17" s="461"/>
      <c r="J17" s="475">
        <f t="shared" si="1"/>
        <v>0</v>
      </c>
    </row>
    <row r="18" spans="1:10">
      <c r="A18" s="457">
        <v>6</v>
      </c>
      <c r="B18" s="458" t="s">
        <v>51</v>
      </c>
      <c r="C18" s="459">
        <v>0</v>
      </c>
      <c r="D18" s="459">
        <v>0</v>
      </c>
      <c r="E18" s="459"/>
      <c r="F18" s="460"/>
      <c r="G18" s="443"/>
      <c r="H18" s="461"/>
      <c r="J18" s="475">
        <f t="shared" si="1"/>
        <v>0</v>
      </c>
    </row>
    <row r="19" spans="1:10" ht="25.5">
      <c r="A19" s="457">
        <v>7</v>
      </c>
      <c r="B19" s="458" t="s">
        <v>218</v>
      </c>
      <c r="C19" s="463">
        <v>899.75826000000006</v>
      </c>
      <c r="D19" s="463">
        <v>1077.7211999999997</v>
      </c>
      <c r="E19" s="463">
        <v>345.2</v>
      </c>
      <c r="F19" s="461">
        <f>+C19+C20+C21+C22+C23+C24+C25</f>
        <v>6236.0015399999993</v>
      </c>
      <c r="G19" s="461">
        <f t="shared" ref="G19:H19" si="2">+D19+D20+D21+D22+D23+D24+D25</f>
        <v>6386.9795999999997</v>
      </c>
      <c r="H19" s="461">
        <f t="shared" si="2"/>
        <v>3580.1</v>
      </c>
      <c r="J19" s="475">
        <f t="shared" si="1"/>
        <v>554.55826000000002</v>
      </c>
    </row>
    <row r="20" spans="1:10" ht="25.5">
      <c r="A20" s="457">
        <v>8</v>
      </c>
      <c r="B20" s="458" t="s">
        <v>219</v>
      </c>
      <c r="C20" s="463">
        <v>781.75800000000004</v>
      </c>
      <c r="D20" s="463">
        <v>789.62579999999991</v>
      </c>
      <c r="E20" s="463">
        <v>417.7</v>
      </c>
      <c r="F20" s="460"/>
      <c r="G20" s="443"/>
      <c r="H20" s="461"/>
      <c r="J20" s="475">
        <f t="shared" si="1"/>
        <v>364.05800000000005</v>
      </c>
    </row>
    <row r="21" spans="1:10" ht="25.5">
      <c r="A21" s="457">
        <v>9</v>
      </c>
      <c r="B21" s="458" t="s">
        <v>52</v>
      </c>
      <c r="C21" s="464">
        <v>1034.7663600000001</v>
      </c>
      <c r="D21" s="464">
        <v>1315.0943999999997</v>
      </c>
      <c r="E21" s="464">
        <v>917.6</v>
      </c>
      <c r="F21" s="460"/>
      <c r="G21" s="443"/>
      <c r="H21" s="461"/>
      <c r="J21" s="475">
        <f t="shared" si="1"/>
        <v>117.16636000000005</v>
      </c>
    </row>
    <row r="22" spans="1:10" ht="25.5">
      <c r="A22" s="457">
        <v>10</v>
      </c>
      <c r="B22" s="458" t="s">
        <v>220</v>
      </c>
      <c r="C22" s="464">
        <v>1007.0783999999999</v>
      </c>
      <c r="D22" s="464">
        <v>742.58640000000003</v>
      </c>
      <c r="E22" s="464">
        <v>600.20000000000005</v>
      </c>
      <c r="F22" s="460"/>
      <c r="G22" s="443"/>
      <c r="H22" s="461"/>
      <c r="J22" s="475">
        <f t="shared" si="1"/>
        <v>406.87839999999983</v>
      </c>
    </row>
    <row r="23" spans="1:10" ht="38.25">
      <c r="A23" s="457">
        <v>11</v>
      </c>
      <c r="B23" s="458" t="s">
        <v>221</v>
      </c>
      <c r="C23" s="464">
        <v>847.71359999999993</v>
      </c>
      <c r="D23" s="464">
        <v>766.02240000000006</v>
      </c>
      <c r="E23" s="464">
        <v>529.79999999999995</v>
      </c>
      <c r="F23" s="460"/>
      <c r="G23" s="443"/>
      <c r="H23" s="461"/>
      <c r="J23" s="475">
        <f t="shared" si="1"/>
        <v>317.91359999999997</v>
      </c>
    </row>
    <row r="24" spans="1:10" ht="25.5">
      <c r="A24" s="457">
        <v>12</v>
      </c>
      <c r="B24" s="458" t="s">
        <v>222</v>
      </c>
      <c r="C24" s="463">
        <v>957.99671999999987</v>
      </c>
      <c r="D24" s="463">
        <v>969.91559999999993</v>
      </c>
      <c r="E24" s="463">
        <v>472.7</v>
      </c>
      <c r="F24" s="460"/>
      <c r="G24" s="443"/>
      <c r="H24" s="461"/>
      <c r="J24" s="475">
        <f t="shared" si="1"/>
        <v>485.29671999999988</v>
      </c>
    </row>
    <row r="25" spans="1:10" ht="25.5">
      <c r="A25" s="457">
        <v>13</v>
      </c>
      <c r="B25" s="458" t="s">
        <v>223</v>
      </c>
      <c r="C25" s="463">
        <v>706.9301999999999</v>
      </c>
      <c r="D25" s="463">
        <v>726.01379999999995</v>
      </c>
      <c r="E25" s="463">
        <v>296.89999999999998</v>
      </c>
      <c r="F25" s="460"/>
      <c r="G25" s="443"/>
      <c r="H25" s="461"/>
      <c r="J25" s="475">
        <f t="shared" si="1"/>
        <v>410.03019999999992</v>
      </c>
    </row>
    <row r="26" spans="1:10">
      <c r="A26" s="457">
        <v>14</v>
      </c>
      <c r="B26" s="458" t="s">
        <v>53</v>
      </c>
      <c r="C26" s="463">
        <v>0</v>
      </c>
      <c r="D26" s="463">
        <v>0</v>
      </c>
      <c r="E26" s="463">
        <v>0</v>
      </c>
      <c r="F26" s="460"/>
      <c r="G26" s="443"/>
      <c r="H26" s="460"/>
      <c r="J26" s="475">
        <f t="shared" si="1"/>
        <v>0</v>
      </c>
    </row>
    <row r="27" spans="1:10" ht="25.5">
      <c r="A27" s="457">
        <v>15</v>
      </c>
      <c r="B27" s="458" t="s">
        <v>54</v>
      </c>
      <c r="C27" s="463">
        <v>978.55343999999991</v>
      </c>
      <c r="D27" s="463">
        <v>1358.9531999999999</v>
      </c>
      <c r="E27" s="463">
        <v>553.6</v>
      </c>
      <c r="F27" s="460"/>
      <c r="G27" s="443"/>
      <c r="H27" s="461"/>
      <c r="J27" s="475">
        <f t="shared" si="1"/>
        <v>424.95343999999989</v>
      </c>
    </row>
    <row r="28" spans="1:10" ht="25.5">
      <c r="A28" s="457">
        <v>16</v>
      </c>
      <c r="B28" s="458" t="s">
        <v>55</v>
      </c>
      <c r="C28" s="463">
        <v>1259.14932</v>
      </c>
      <c r="D28" s="463">
        <v>1274.751</v>
      </c>
      <c r="E28" s="463">
        <v>742.7</v>
      </c>
      <c r="F28" s="460"/>
      <c r="G28" s="443"/>
      <c r="H28" s="465"/>
      <c r="J28" s="475">
        <f t="shared" si="1"/>
        <v>516.44931999999994</v>
      </c>
    </row>
    <row r="29" spans="1:10" ht="25.5">
      <c r="A29" s="457">
        <v>17</v>
      </c>
      <c r="B29" s="458" t="s">
        <v>56</v>
      </c>
      <c r="C29" s="463">
        <v>790.29539999999997</v>
      </c>
      <c r="D29" s="463">
        <v>790.29539999999997</v>
      </c>
      <c r="E29" s="463">
        <v>329.4</v>
      </c>
      <c r="F29" s="460"/>
      <c r="G29" s="443"/>
      <c r="H29" s="461"/>
      <c r="J29" s="475">
        <f t="shared" si="1"/>
        <v>460.8954</v>
      </c>
    </row>
    <row r="30" spans="1:10" ht="25.5">
      <c r="A30" s="457">
        <v>18</v>
      </c>
      <c r="B30" s="458" t="s">
        <v>57</v>
      </c>
      <c r="C30" s="463">
        <v>1781.3034000000002</v>
      </c>
      <c r="D30" s="463">
        <v>2195.6183999999998</v>
      </c>
      <c r="E30" s="463">
        <v>500.9</v>
      </c>
      <c r="F30" s="460"/>
      <c r="G30" s="443"/>
      <c r="H30" s="461"/>
      <c r="J30" s="475">
        <f t="shared" si="1"/>
        <v>1280.4034000000001</v>
      </c>
    </row>
    <row r="31" spans="1:10" ht="25.5">
      <c r="A31" s="457">
        <v>19</v>
      </c>
      <c r="B31" s="458" t="s">
        <v>58</v>
      </c>
      <c r="C31" s="463">
        <v>1492.8732</v>
      </c>
      <c r="D31" s="463">
        <v>1591.6391999999998</v>
      </c>
      <c r="E31" s="463">
        <v>561.79999999999995</v>
      </c>
      <c r="F31" s="460"/>
      <c r="G31" s="443"/>
      <c r="H31" s="461"/>
      <c r="J31" s="475">
        <f t="shared" si="1"/>
        <v>931.07320000000004</v>
      </c>
    </row>
    <row r="32" spans="1:10" ht="25.5">
      <c r="A32" s="457">
        <v>20</v>
      </c>
      <c r="B32" s="458" t="s">
        <v>59</v>
      </c>
      <c r="C32" s="463">
        <v>1370.7381599999999</v>
      </c>
      <c r="D32" s="463">
        <v>1077.0516</v>
      </c>
      <c r="E32" s="463">
        <v>734.2</v>
      </c>
      <c r="F32" s="460"/>
      <c r="G32" s="443"/>
      <c r="H32" s="461"/>
      <c r="J32" s="475">
        <f t="shared" si="1"/>
        <v>636.53815999999983</v>
      </c>
    </row>
    <row r="33" spans="1:10" ht="25.5">
      <c r="A33" s="457">
        <v>21</v>
      </c>
      <c r="B33" s="458" t="s">
        <v>60</v>
      </c>
      <c r="C33" s="463">
        <v>1762.9228799999994</v>
      </c>
      <c r="D33" s="463">
        <v>1280.9448</v>
      </c>
      <c r="E33" s="463">
        <v>1539.5</v>
      </c>
      <c r="F33" s="460"/>
      <c r="G33" s="443"/>
      <c r="H33" s="461"/>
      <c r="J33" s="475">
        <f t="shared" si="1"/>
        <v>223.4228799999994</v>
      </c>
    </row>
    <row r="34" spans="1:10" ht="25.5">
      <c r="A34" s="457">
        <v>22</v>
      </c>
      <c r="B34" s="458" t="s">
        <v>61</v>
      </c>
      <c r="C34" s="463">
        <v>1043.739</v>
      </c>
      <c r="D34" s="463">
        <v>1150.875</v>
      </c>
      <c r="E34" s="463">
        <v>314.89999999999998</v>
      </c>
      <c r="F34" s="460"/>
      <c r="G34" s="443"/>
      <c r="H34" s="465"/>
      <c r="J34" s="475">
        <f t="shared" si="1"/>
        <v>728.83900000000006</v>
      </c>
    </row>
    <row r="35" spans="1:10" ht="26.25" thickBot="1">
      <c r="A35" s="466">
        <v>23</v>
      </c>
      <c r="B35" s="467" t="s">
        <v>62</v>
      </c>
      <c r="C35" s="468">
        <v>1160.4168</v>
      </c>
      <c r="D35" s="468">
        <v>974.6028</v>
      </c>
      <c r="E35" s="468">
        <v>381</v>
      </c>
      <c r="F35" s="460"/>
      <c r="G35" s="443"/>
      <c r="H35" s="469"/>
      <c r="J35" s="475">
        <f t="shared" si="1"/>
        <v>779.41679999999997</v>
      </c>
    </row>
    <row r="36" spans="1:10">
      <c r="A36" s="470"/>
      <c r="B36" s="470"/>
      <c r="C36" s="471"/>
      <c r="D36" s="472"/>
      <c r="E36" s="470"/>
      <c r="F36" s="470"/>
      <c r="G36" s="443"/>
      <c r="H36" s="473"/>
    </row>
    <row r="37" spans="1:10">
      <c r="A37" s="470"/>
      <c r="B37" s="470"/>
      <c r="C37" s="470"/>
      <c r="D37" s="472"/>
      <c r="E37" s="470"/>
      <c r="F37" s="470"/>
      <c r="G37" s="443"/>
      <c r="H37" s="426"/>
    </row>
    <row r="38" spans="1:10">
      <c r="A38" s="470"/>
      <c r="B38" s="470"/>
      <c r="C38" s="470"/>
      <c r="D38" s="472"/>
      <c r="E38" s="470"/>
      <c r="F38" s="470"/>
      <c r="G38" s="443"/>
      <c r="H38" s="426"/>
    </row>
    <row r="39" spans="1:10">
      <c r="A39" s="470"/>
      <c r="B39" s="470"/>
      <c r="C39" s="470"/>
      <c r="D39" s="472"/>
      <c r="E39" s="470"/>
      <c r="F39" s="470"/>
      <c r="G39" s="443"/>
      <c r="H39" s="426"/>
    </row>
    <row r="40" spans="1:10">
      <c r="A40" s="470"/>
      <c r="B40" s="470"/>
      <c r="C40" s="470"/>
      <c r="D40" s="472"/>
      <c r="E40" s="470"/>
      <c r="F40" s="470"/>
      <c r="G40" s="443"/>
      <c r="H40" s="426"/>
    </row>
    <row r="41" spans="1:10">
      <c r="A41" s="470"/>
      <c r="B41" s="470"/>
      <c r="C41" s="470"/>
      <c r="D41" s="472"/>
      <c r="E41" s="470"/>
      <c r="F41" s="470"/>
      <c r="G41" s="443"/>
      <c r="H41" s="426"/>
    </row>
    <row r="42" spans="1:10">
      <c r="A42" s="470"/>
      <c r="B42" s="470"/>
      <c r="C42" s="470"/>
      <c r="D42" s="472"/>
      <c r="E42" s="470"/>
      <c r="F42" s="470"/>
      <c r="G42" s="443"/>
      <c r="H42" s="426"/>
    </row>
    <row r="43" spans="1:10">
      <c r="A43" s="470"/>
      <c r="B43" s="470"/>
      <c r="C43" s="470"/>
      <c r="D43" s="472"/>
      <c r="E43" s="470"/>
      <c r="F43" s="470"/>
      <c r="G43" s="443"/>
      <c r="H43" s="426"/>
    </row>
  </sheetData>
  <mergeCells count="2">
    <mergeCell ref="A5:E5"/>
    <mergeCell ref="A6:E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19"/>
  <sheetViews>
    <sheetView zoomScaleNormal="100" workbookViewId="0">
      <selection activeCell="G13" sqref="G13"/>
    </sheetView>
  </sheetViews>
  <sheetFormatPr defaultColWidth="9.140625" defaultRowHeight="16.5"/>
  <cols>
    <col min="1" max="1" width="4.140625" style="242" bestFit="1" customWidth="1"/>
    <col min="2" max="2" width="37.140625" style="242" customWidth="1"/>
    <col min="3" max="3" width="20.140625" style="242" customWidth="1"/>
    <col min="4" max="4" width="10.140625" style="242" bestFit="1" customWidth="1"/>
    <col min="5" max="5" width="9" style="242" bestFit="1" customWidth="1"/>
    <col min="6" max="6" width="10.28515625" style="242" bestFit="1" customWidth="1"/>
    <col min="7" max="7" width="12.85546875" style="242" customWidth="1"/>
    <col min="8" max="8" width="11.28515625" style="242" customWidth="1"/>
    <col min="9" max="9" width="12" style="242" customWidth="1"/>
    <col min="10" max="16384" width="9.140625" style="242"/>
  </cols>
  <sheetData>
    <row r="1" spans="1:14" ht="18" thickBot="1">
      <c r="A1" s="204"/>
      <c r="B1" s="205" t="s">
        <v>141</v>
      </c>
      <c r="C1" s="206" t="s">
        <v>224</v>
      </c>
      <c r="D1" s="207"/>
      <c r="E1" s="207"/>
      <c r="F1" s="208"/>
      <c r="G1" s="209"/>
      <c r="H1" s="204"/>
      <c r="I1" s="204"/>
    </row>
    <row r="2" spans="1:14" ht="27.75" customHeight="1">
      <c r="A2" s="210"/>
      <c r="B2" s="841" t="s">
        <v>150</v>
      </c>
      <c r="C2" s="841"/>
      <c r="D2" s="841"/>
      <c r="E2" s="841"/>
      <c r="F2" s="841"/>
      <c r="G2" s="841"/>
      <c r="H2" s="841"/>
      <c r="I2" s="841"/>
    </row>
    <row r="3" spans="1:14" ht="17.25">
      <c r="A3" s="213"/>
      <c r="B3" s="214"/>
      <c r="C3" s="214"/>
      <c r="D3" s="214"/>
      <c r="E3" s="214"/>
      <c r="F3" s="214"/>
      <c r="G3" s="214"/>
      <c r="H3" s="214"/>
      <c r="I3" s="214"/>
    </row>
    <row r="4" spans="1:14" ht="108">
      <c r="A4" s="217" t="s">
        <v>63</v>
      </c>
      <c r="B4" s="218" t="s">
        <v>89</v>
      </c>
      <c r="C4" s="219" t="s">
        <v>90</v>
      </c>
      <c r="D4" s="219" t="s">
        <v>142</v>
      </c>
      <c r="E4" s="219" t="s">
        <v>92</v>
      </c>
      <c r="F4" s="219" t="s">
        <v>93</v>
      </c>
      <c r="G4" s="219" t="s">
        <v>114</v>
      </c>
      <c r="H4" s="219" t="s">
        <v>165</v>
      </c>
      <c r="I4" s="219" t="s">
        <v>166</v>
      </c>
    </row>
    <row r="5" spans="1:14">
      <c r="A5" s="215">
        <v>1</v>
      </c>
      <c r="B5" s="216">
        <v>2</v>
      </c>
      <c r="C5" s="216">
        <v>4</v>
      </c>
      <c r="D5" s="215">
        <v>5</v>
      </c>
      <c r="E5" s="216">
        <v>6</v>
      </c>
      <c r="F5" s="215">
        <v>7</v>
      </c>
      <c r="G5" s="216">
        <v>8</v>
      </c>
      <c r="H5" s="215">
        <v>9</v>
      </c>
      <c r="I5" s="215">
        <v>11</v>
      </c>
    </row>
    <row r="6" spans="1:14">
      <c r="A6" s="222">
        <v>1</v>
      </c>
      <c r="B6" s="243" t="s">
        <v>232</v>
      </c>
      <c r="C6" s="732">
        <v>281.2</v>
      </c>
      <c r="D6" s="224">
        <f>H13</f>
        <v>109</v>
      </c>
      <c r="E6" s="521">
        <v>252</v>
      </c>
      <c r="F6" s="222">
        <v>200.47</v>
      </c>
      <c r="G6" s="222">
        <f t="shared" ref="G6" si="0">30/1000</f>
        <v>0.03</v>
      </c>
      <c r="H6" s="244">
        <f t="shared" ref="H6" si="1">(D6+C6/0.8)*E6*F6*G6</f>
        <v>697912.24859999993</v>
      </c>
      <c r="I6" s="478">
        <f t="shared" ref="I6" si="2">H6/1000</f>
        <v>697.91224859999988</v>
      </c>
    </row>
    <row r="7" spans="1:14">
      <c r="A7" s="220"/>
      <c r="B7" s="221" t="s">
        <v>75</v>
      </c>
      <c r="C7" s="236">
        <f>SUM(C6:C6)</f>
        <v>281.2</v>
      </c>
      <c r="D7" s="224">
        <f>SUM(D6:D6)</f>
        <v>109</v>
      </c>
      <c r="E7" s="221" t="s">
        <v>7</v>
      </c>
      <c r="F7" s="221" t="s">
        <v>7</v>
      </c>
      <c r="G7" s="221" t="s">
        <v>7</v>
      </c>
      <c r="H7" s="244">
        <f>SUM(H6:H6)</f>
        <v>697912.24859999993</v>
      </c>
      <c r="I7" s="768">
        <f>SUM(I6:I6)</f>
        <v>697.91224859999988</v>
      </c>
    </row>
    <row r="9" spans="1:14" s="227" customFormat="1" ht="13.5">
      <c r="B9" s="148" t="s">
        <v>82</v>
      </c>
      <c r="C9" s="148"/>
      <c r="D9" s="148"/>
      <c r="E9" s="148"/>
      <c r="F9" s="148"/>
      <c r="G9" s="148"/>
      <c r="H9" s="148"/>
      <c r="M9" s="148"/>
      <c r="N9" s="148"/>
    </row>
    <row r="10" spans="1:14" s="227" customFormat="1" ht="29.25" customHeight="1">
      <c r="B10" s="830" t="s">
        <v>79</v>
      </c>
      <c r="C10" s="831"/>
      <c r="D10" s="228" t="s">
        <v>83</v>
      </c>
      <c r="E10" s="229" t="s">
        <v>84</v>
      </c>
      <c r="F10" s="229" t="s">
        <v>85</v>
      </c>
      <c r="G10" s="229" t="s">
        <v>86</v>
      </c>
      <c r="H10" s="229" t="s">
        <v>87</v>
      </c>
      <c r="M10" s="148"/>
      <c r="N10" s="148"/>
    </row>
    <row r="11" spans="1:14" s="227" customFormat="1" ht="14.25">
      <c r="B11" s="230"/>
      <c r="C11" s="231"/>
      <c r="D11" s="229"/>
      <c r="E11" s="229"/>
      <c r="F11" s="229"/>
      <c r="G11" s="229"/>
      <c r="H11" s="232">
        <f>SUM(D11:G11)</f>
        <v>0</v>
      </c>
      <c r="M11" s="148"/>
      <c r="N11" s="148"/>
    </row>
    <row r="12" spans="1:14" s="227" customFormat="1" ht="14.25">
      <c r="B12" s="627"/>
      <c r="C12" s="228"/>
      <c r="D12" s="806">
        <v>15</v>
      </c>
      <c r="E12" s="804">
        <v>54</v>
      </c>
      <c r="F12" s="804">
        <v>16</v>
      </c>
      <c r="G12" s="804">
        <v>24</v>
      </c>
      <c r="H12" s="805">
        <f>SUM(D12:G12)</f>
        <v>109</v>
      </c>
      <c r="M12" s="148"/>
      <c r="N12" s="148"/>
    </row>
    <row r="13" spans="1:14" s="227" customFormat="1" ht="14.25">
      <c r="B13" s="233" t="s">
        <v>75</v>
      </c>
      <c r="C13" s="228"/>
      <c r="D13" s="234">
        <f>+D11+D12</f>
        <v>15</v>
      </c>
      <c r="E13" s="234">
        <f>+E11+E12</f>
        <v>54</v>
      </c>
      <c r="F13" s="234">
        <f>+F11+F12</f>
        <v>16</v>
      </c>
      <c r="G13" s="234">
        <f>+G11+G12</f>
        <v>24</v>
      </c>
      <c r="H13" s="234">
        <f>+H11+H12</f>
        <v>109</v>
      </c>
      <c r="M13" s="148"/>
      <c r="N13" s="148"/>
    </row>
    <row r="14" spans="1:14" s="227" customFormat="1" ht="14.25">
      <c r="B14" s="621"/>
      <c r="C14" s="622"/>
      <c r="D14" s="623"/>
      <c r="E14" s="623"/>
      <c r="F14" s="623"/>
      <c r="G14" s="623"/>
      <c r="H14" s="623"/>
      <c r="M14" s="148"/>
      <c r="N14" s="148"/>
    </row>
    <row r="15" spans="1:14">
      <c r="A15" s="227"/>
      <c r="B15" s="245" t="s">
        <v>149</v>
      </c>
      <c r="C15" s="227"/>
      <c r="D15" s="246"/>
      <c r="E15" s="246"/>
      <c r="F15" s="246"/>
      <c r="G15" s="246"/>
    </row>
    <row r="16" spans="1:14">
      <c r="A16" s="227"/>
      <c r="B16" s="227"/>
      <c r="C16" s="247"/>
      <c r="D16" s="247"/>
      <c r="E16" s="247"/>
      <c r="F16" s="247"/>
      <c r="G16" s="247"/>
    </row>
    <row r="17" spans="1:7" ht="67.5">
      <c r="A17" s="248" t="s">
        <v>34</v>
      </c>
      <c r="B17" s="249" t="s">
        <v>96</v>
      </c>
      <c r="C17" s="249" t="s">
        <v>131</v>
      </c>
      <c r="D17" s="249" t="s">
        <v>132</v>
      </c>
      <c r="E17" s="249" t="s">
        <v>133</v>
      </c>
      <c r="F17" s="249" t="s">
        <v>134</v>
      </c>
      <c r="G17" s="249" t="s">
        <v>135</v>
      </c>
    </row>
    <row r="18" spans="1:7" ht="67.5">
      <c r="A18" s="250">
        <v>1</v>
      </c>
      <c r="B18" s="240" t="s">
        <v>175</v>
      </c>
      <c r="C18" s="252" t="s">
        <v>94</v>
      </c>
      <c r="D18" s="252">
        <v>400</v>
      </c>
      <c r="E18" s="252">
        <v>20</v>
      </c>
      <c r="F18" s="252">
        <v>12</v>
      </c>
      <c r="G18" s="254">
        <f>E18*D18*F18/1000</f>
        <v>96</v>
      </c>
    </row>
    <row r="19" spans="1:7">
      <c r="A19" s="239"/>
      <c r="B19" s="255" t="s">
        <v>176</v>
      </c>
      <c r="C19" s="222"/>
      <c r="D19" s="222"/>
      <c r="E19" s="222"/>
      <c r="F19" s="222"/>
      <c r="G19" s="256">
        <f>SUM(G18:G18)</f>
        <v>96</v>
      </c>
    </row>
  </sheetData>
  <mergeCells count="2">
    <mergeCell ref="B10:C10"/>
    <mergeCell ref="B2:I2"/>
  </mergeCells>
  <pageMargins left="0.7" right="0.7" top="0.75" bottom="0.75" header="0.3" footer="0.3"/>
  <pageSetup paperSize="9" scale="68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19"/>
  <sheetViews>
    <sheetView tabSelected="1" zoomScaleNormal="100" workbookViewId="0">
      <selection activeCell="D6" sqref="D6:D7"/>
    </sheetView>
  </sheetViews>
  <sheetFormatPr defaultColWidth="9.140625" defaultRowHeight="16.5"/>
  <cols>
    <col min="1" max="1" width="4.140625" style="242" bestFit="1" customWidth="1"/>
    <col min="2" max="2" width="37.140625" style="242" customWidth="1"/>
    <col min="3" max="3" width="20.140625" style="242" customWidth="1"/>
    <col min="4" max="4" width="10.140625" style="242" bestFit="1" customWidth="1"/>
    <col min="5" max="5" width="9" style="242" bestFit="1" customWidth="1"/>
    <col min="6" max="6" width="10.28515625" style="242" bestFit="1" customWidth="1"/>
    <col min="7" max="7" width="12.85546875" style="242" customWidth="1"/>
    <col min="8" max="8" width="11.28515625" style="242" customWidth="1"/>
    <col min="9" max="9" width="12" style="242" customWidth="1"/>
    <col min="10" max="16384" width="9.140625" style="242"/>
  </cols>
  <sheetData>
    <row r="1" spans="1:14" ht="18" thickBot="1">
      <c r="A1" s="204"/>
      <c r="B1" s="205" t="s">
        <v>141</v>
      </c>
      <c r="C1" s="206" t="s">
        <v>253</v>
      </c>
      <c r="D1" s="207"/>
      <c r="E1" s="207"/>
      <c r="F1" s="208"/>
      <c r="G1" s="209"/>
      <c r="H1" s="204"/>
      <c r="I1" s="204"/>
    </row>
    <row r="2" spans="1:14" ht="29.25" customHeight="1">
      <c r="A2" s="210"/>
      <c r="B2" s="841" t="s">
        <v>150</v>
      </c>
      <c r="C2" s="841"/>
      <c r="D2" s="841"/>
      <c r="E2" s="841"/>
      <c r="F2" s="841"/>
      <c r="G2" s="841"/>
      <c r="H2" s="841"/>
      <c r="I2" s="841"/>
    </row>
    <row r="3" spans="1:14" ht="17.25">
      <c r="A3" s="213"/>
      <c r="B3" s="214"/>
      <c r="C3" s="214"/>
      <c r="D3" s="214"/>
      <c r="E3" s="214"/>
      <c r="F3" s="214"/>
      <c r="G3" s="214"/>
      <c r="H3" s="214"/>
      <c r="I3" s="214"/>
    </row>
    <row r="4" spans="1:14" ht="108">
      <c r="A4" s="217" t="s">
        <v>63</v>
      </c>
      <c r="B4" s="218" t="s">
        <v>89</v>
      </c>
      <c r="C4" s="219" t="s">
        <v>90</v>
      </c>
      <c r="D4" s="219" t="s">
        <v>142</v>
      </c>
      <c r="E4" s="219" t="s">
        <v>92</v>
      </c>
      <c r="F4" s="219" t="s">
        <v>93</v>
      </c>
      <c r="G4" s="219" t="s">
        <v>114</v>
      </c>
      <c r="H4" s="219" t="s">
        <v>165</v>
      </c>
      <c r="I4" s="219" t="s">
        <v>166</v>
      </c>
    </row>
    <row r="5" spans="1:14">
      <c r="A5" s="215">
        <v>1</v>
      </c>
      <c r="B5" s="216">
        <v>2</v>
      </c>
      <c r="C5" s="216">
        <v>4</v>
      </c>
      <c r="D5" s="215">
        <v>5</v>
      </c>
      <c r="E5" s="216">
        <v>6</v>
      </c>
      <c r="F5" s="215">
        <v>7</v>
      </c>
      <c r="G5" s="216">
        <v>8</v>
      </c>
      <c r="H5" s="215">
        <v>9</v>
      </c>
      <c r="I5" s="215">
        <v>11</v>
      </c>
    </row>
    <row r="6" spans="1:14">
      <c r="A6" s="222">
        <v>1</v>
      </c>
      <c r="B6" s="243" t="s">
        <v>254</v>
      </c>
      <c r="C6" s="732">
        <v>280</v>
      </c>
      <c r="D6" s="224">
        <f>H13</f>
        <v>85</v>
      </c>
      <c r="E6" s="773">
        <v>252</v>
      </c>
      <c r="F6" s="222">
        <v>200.47</v>
      </c>
      <c r="G6" s="222">
        <f t="shared" ref="G6" si="0">30/1000</f>
        <v>0.03</v>
      </c>
      <c r="H6" s="244">
        <f t="shared" ref="H6" si="1">(D6+C6/0.8)*E6*F6*G6</f>
        <v>659265.64199999988</v>
      </c>
      <c r="I6" s="478">
        <f t="shared" ref="I6" si="2">H6/1000</f>
        <v>659.26564199999984</v>
      </c>
    </row>
    <row r="7" spans="1:14">
      <c r="A7" s="220"/>
      <c r="B7" s="221" t="s">
        <v>75</v>
      </c>
      <c r="C7" s="236">
        <f>SUM(C6:C6)</f>
        <v>280</v>
      </c>
      <c r="D7" s="224">
        <f>SUM(D6:D6)</f>
        <v>85</v>
      </c>
      <c r="E7" s="221" t="s">
        <v>7</v>
      </c>
      <c r="F7" s="221" t="s">
        <v>7</v>
      </c>
      <c r="G7" s="221" t="s">
        <v>7</v>
      </c>
      <c r="H7" s="244">
        <f>SUM(H6:H6)</f>
        <v>659265.64199999988</v>
      </c>
      <c r="I7" s="768">
        <f>SUM(I6:I6)</f>
        <v>659.26564199999984</v>
      </c>
    </row>
    <row r="9" spans="1:14" s="227" customFormat="1" ht="13.5">
      <c r="B9" s="148" t="s">
        <v>82</v>
      </c>
      <c r="C9" s="148"/>
      <c r="D9" s="148"/>
      <c r="E9" s="148"/>
      <c r="F9" s="148"/>
      <c r="G9" s="148"/>
      <c r="H9" s="148"/>
      <c r="M9" s="148"/>
      <c r="N9" s="148"/>
    </row>
    <row r="10" spans="1:14" s="227" customFormat="1" ht="29.25" customHeight="1">
      <c r="B10" s="830" t="s">
        <v>79</v>
      </c>
      <c r="C10" s="831"/>
      <c r="D10" s="228" t="s">
        <v>83</v>
      </c>
      <c r="E10" s="229" t="s">
        <v>84</v>
      </c>
      <c r="F10" s="229" t="s">
        <v>85</v>
      </c>
      <c r="G10" s="229" t="s">
        <v>86</v>
      </c>
      <c r="H10" s="229" t="s">
        <v>87</v>
      </c>
      <c r="M10" s="148"/>
      <c r="N10" s="148"/>
    </row>
    <row r="11" spans="1:14" s="227" customFormat="1" ht="14.25" hidden="1">
      <c r="B11" s="230"/>
      <c r="C11" s="231"/>
      <c r="D11" s="229"/>
      <c r="E11" s="229"/>
      <c r="F11" s="229"/>
      <c r="G11" s="229"/>
      <c r="H11" s="232">
        <f>SUM(D11:G11)</f>
        <v>0</v>
      </c>
      <c r="M11" s="148"/>
      <c r="N11" s="148"/>
    </row>
    <row r="12" spans="1:14" s="227" customFormat="1" ht="14.25">
      <c r="B12" s="777" t="s">
        <v>253</v>
      </c>
      <c r="C12" s="228"/>
      <c r="D12" s="806">
        <v>12</v>
      </c>
      <c r="E12" s="804">
        <v>40</v>
      </c>
      <c r="F12" s="804">
        <v>11</v>
      </c>
      <c r="G12" s="804">
        <v>22</v>
      </c>
      <c r="H12" s="805">
        <f>SUM(D12:G12)</f>
        <v>85</v>
      </c>
      <c r="M12" s="148"/>
      <c r="N12" s="148"/>
    </row>
    <row r="13" spans="1:14" s="227" customFormat="1" ht="14.25">
      <c r="B13" s="233" t="s">
        <v>75</v>
      </c>
      <c r="C13" s="228"/>
      <c r="D13" s="234">
        <f>+D11+D12</f>
        <v>12</v>
      </c>
      <c r="E13" s="234">
        <f>+E11+E12</f>
        <v>40</v>
      </c>
      <c r="F13" s="234">
        <f>+F11+F12</f>
        <v>11</v>
      </c>
      <c r="G13" s="234">
        <f>+G11+G12</f>
        <v>22</v>
      </c>
      <c r="H13" s="234">
        <f>+H11+H12</f>
        <v>85</v>
      </c>
      <c r="M13" s="148"/>
      <c r="N13" s="148"/>
    </row>
    <row r="14" spans="1:14" s="227" customFormat="1" ht="14.25">
      <c r="B14" s="621"/>
      <c r="C14" s="622"/>
      <c r="D14" s="623"/>
      <c r="E14" s="623"/>
      <c r="F14" s="623"/>
      <c r="G14" s="623"/>
      <c r="H14" s="623"/>
      <c r="M14" s="148"/>
      <c r="N14" s="148"/>
    </row>
    <row r="15" spans="1:14">
      <c r="A15" s="227"/>
      <c r="B15" s="245" t="s">
        <v>149</v>
      </c>
      <c r="C15" s="227"/>
      <c r="D15" s="246"/>
      <c r="E15" s="246"/>
      <c r="F15" s="246"/>
      <c r="G15" s="246"/>
    </row>
    <row r="16" spans="1:14">
      <c r="A16" s="227"/>
      <c r="B16" s="227"/>
      <c r="C16" s="247"/>
      <c r="D16" s="247"/>
      <c r="E16" s="247"/>
      <c r="F16" s="247"/>
      <c r="G16" s="247"/>
    </row>
    <row r="17" spans="1:7" ht="67.5">
      <c r="A17" s="248" t="s">
        <v>34</v>
      </c>
      <c r="B17" s="249" t="s">
        <v>96</v>
      </c>
      <c r="C17" s="249" t="s">
        <v>131</v>
      </c>
      <c r="D17" s="249" t="s">
        <v>132</v>
      </c>
      <c r="E17" s="249" t="s">
        <v>133</v>
      </c>
      <c r="F17" s="249" t="s">
        <v>134</v>
      </c>
      <c r="G17" s="249" t="s">
        <v>135</v>
      </c>
    </row>
    <row r="18" spans="1:7" ht="67.5">
      <c r="A18" s="250">
        <v>1</v>
      </c>
      <c r="B18" s="240" t="s">
        <v>175</v>
      </c>
      <c r="C18" s="252" t="s">
        <v>94</v>
      </c>
      <c r="D18" s="252">
        <v>400</v>
      </c>
      <c r="E18" s="252">
        <v>20</v>
      </c>
      <c r="F18" s="252">
        <v>12</v>
      </c>
      <c r="G18" s="254">
        <f>E18*D18*F18/1000</f>
        <v>96</v>
      </c>
    </row>
    <row r="19" spans="1:7">
      <c r="A19" s="239"/>
      <c r="B19" s="255" t="s">
        <v>176</v>
      </c>
      <c r="C19" s="222"/>
      <c r="D19" s="222"/>
      <c r="E19" s="222"/>
      <c r="F19" s="222"/>
      <c r="G19" s="256">
        <f>SUM(G18:G18)</f>
        <v>96</v>
      </c>
    </row>
  </sheetData>
  <mergeCells count="2">
    <mergeCell ref="B10:C10"/>
    <mergeCell ref="B2:I2"/>
  </mergeCells>
  <pageMargins left="0.7" right="0.7" top="0.75" bottom="0.75" header="0.3" footer="0.3"/>
  <pageSetup paperSize="9" scale="68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24"/>
  <sheetViews>
    <sheetView zoomScaleNormal="100" workbookViewId="0">
      <selection activeCell="D9" sqref="D9"/>
    </sheetView>
  </sheetViews>
  <sheetFormatPr defaultColWidth="9.140625" defaultRowHeight="16.5"/>
  <cols>
    <col min="1" max="1" width="4.140625" style="497" bestFit="1" customWidth="1"/>
    <col min="2" max="2" width="37.140625" style="497" customWidth="1"/>
    <col min="3" max="3" width="20.140625" style="497" customWidth="1"/>
    <col min="4" max="4" width="10.140625" style="497" bestFit="1" customWidth="1"/>
    <col min="5" max="5" width="9" style="497" bestFit="1" customWidth="1"/>
    <col min="6" max="6" width="10.28515625" style="497" bestFit="1" customWidth="1"/>
    <col min="7" max="7" width="12.85546875" style="497" customWidth="1"/>
    <col min="8" max="8" width="11.28515625" style="497" customWidth="1"/>
    <col min="9" max="9" width="12" style="497" customWidth="1"/>
    <col min="10" max="16384" width="9.140625" style="497"/>
  </cols>
  <sheetData>
    <row r="1" spans="1:14" ht="18" thickBot="1">
      <c r="A1" s="506"/>
      <c r="B1" s="507" t="s">
        <v>141</v>
      </c>
      <c r="C1" s="508" t="s">
        <v>255</v>
      </c>
      <c r="D1" s="509"/>
      <c r="E1" s="509"/>
      <c r="F1" s="510"/>
      <c r="G1" s="511"/>
      <c r="H1" s="506"/>
      <c r="I1" s="506"/>
    </row>
    <row r="2" spans="1:14" ht="27.75" customHeight="1">
      <c r="A2" s="512"/>
      <c r="B2" s="816" t="s">
        <v>150</v>
      </c>
      <c r="C2" s="816"/>
      <c r="D2" s="816"/>
      <c r="E2" s="816"/>
      <c r="F2" s="816"/>
      <c r="G2" s="816"/>
      <c r="H2" s="816"/>
      <c r="I2" s="816"/>
    </row>
    <row r="3" spans="1:14" ht="17.25">
      <c r="A3" s="516"/>
      <c r="B3" s="771"/>
      <c r="C3" s="771"/>
      <c r="D3" s="771"/>
      <c r="E3" s="771"/>
      <c r="F3" s="771"/>
      <c r="G3" s="771"/>
      <c r="H3" s="771"/>
      <c r="I3" s="771"/>
    </row>
    <row r="4" spans="1:14" ht="108">
      <c r="A4" s="518" t="s">
        <v>63</v>
      </c>
      <c r="B4" s="519" t="s">
        <v>89</v>
      </c>
      <c r="C4" s="520" t="s">
        <v>90</v>
      </c>
      <c r="D4" s="520" t="s">
        <v>142</v>
      </c>
      <c r="E4" s="520" t="s">
        <v>92</v>
      </c>
      <c r="F4" s="520" t="s">
        <v>93</v>
      </c>
      <c r="G4" s="520" t="s">
        <v>114</v>
      </c>
      <c r="H4" s="520" t="s">
        <v>165</v>
      </c>
      <c r="I4" s="520" t="s">
        <v>166</v>
      </c>
    </row>
    <row r="5" spans="1:14">
      <c r="A5" s="565">
        <v>1</v>
      </c>
      <c r="B5" s="566">
        <v>2</v>
      </c>
      <c r="C5" s="566">
        <v>4</v>
      </c>
      <c r="D5" s="565">
        <v>5</v>
      </c>
      <c r="E5" s="566">
        <v>6</v>
      </c>
      <c r="F5" s="565">
        <v>7</v>
      </c>
      <c r="G5" s="566">
        <v>8</v>
      </c>
      <c r="H5" s="565">
        <v>9</v>
      </c>
      <c r="I5" s="565">
        <v>11</v>
      </c>
    </row>
    <row r="6" spans="1:14">
      <c r="A6" s="772">
        <v>1</v>
      </c>
      <c r="B6" s="523" t="s">
        <v>169</v>
      </c>
      <c r="C6" s="539">
        <v>475.09</v>
      </c>
      <c r="D6" s="522">
        <f>H13</f>
        <v>97</v>
      </c>
      <c r="E6" s="521">
        <v>252</v>
      </c>
      <c r="F6" s="518">
        <v>200.47</v>
      </c>
      <c r="G6" s="518">
        <f>30/1000</f>
        <v>0.03</v>
      </c>
      <c r="H6" s="567">
        <f>(D6+C6/0.8)*E6*F6*G6</f>
        <v>1047038.8726349998</v>
      </c>
      <c r="I6" s="568">
        <f>H6/1000</f>
        <v>1047.0388726349997</v>
      </c>
    </row>
    <row r="7" spans="1:14">
      <c r="A7" s="518">
        <v>2</v>
      </c>
      <c r="B7" s="570" t="s">
        <v>173</v>
      </c>
      <c r="C7" s="539">
        <v>444</v>
      </c>
      <c r="D7" s="522">
        <f>H14</f>
        <v>107</v>
      </c>
      <c r="E7" s="773">
        <v>252</v>
      </c>
      <c r="F7" s="518">
        <v>200.47</v>
      </c>
      <c r="G7" s="518">
        <f t="shared" ref="G7:G8" si="0">30/1000</f>
        <v>0.03</v>
      </c>
      <c r="H7" s="567">
        <f t="shared" ref="H7:H8" si="1">(D7+C7/0.8)*E7*F7*G7</f>
        <v>1003296.2184</v>
      </c>
      <c r="I7" s="568">
        <f t="shared" ref="I7:I8" si="2">H7/1000</f>
        <v>1003.2962184</v>
      </c>
    </row>
    <row r="8" spans="1:14">
      <c r="A8" s="518">
        <v>3</v>
      </c>
      <c r="B8" s="570" t="s">
        <v>256</v>
      </c>
      <c r="C8" s="556">
        <v>310.5</v>
      </c>
      <c r="D8" s="522">
        <f>+H15</f>
        <v>111</v>
      </c>
      <c r="E8" s="773">
        <v>252</v>
      </c>
      <c r="F8" s="518">
        <v>200.47</v>
      </c>
      <c r="G8" s="518">
        <f t="shared" si="0"/>
        <v>0.03</v>
      </c>
      <c r="H8" s="567">
        <f t="shared" si="1"/>
        <v>756450.49094999989</v>
      </c>
      <c r="I8" s="568">
        <f t="shared" si="2"/>
        <v>756.4504909499999</v>
      </c>
    </row>
    <row r="9" spans="1:14">
      <c r="A9" s="521"/>
      <c r="B9" s="522" t="s">
        <v>75</v>
      </c>
      <c r="C9" s="538">
        <f>SUM(C6:C8)</f>
        <v>1229.5899999999999</v>
      </c>
      <c r="D9" s="226">
        <f>SUM(D6:D8)</f>
        <v>315</v>
      </c>
      <c r="E9" s="522" t="s">
        <v>7</v>
      </c>
      <c r="F9" s="522" t="s">
        <v>7</v>
      </c>
      <c r="G9" s="522" t="s">
        <v>7</v>
      </c>
      <c r="H9" s="567">
        <f>SUM(H6:H8)</f>
        <v>2806785.5819849996</v>
      </c>
      <c r="I9" s="767">
        <f>SUM(I6:I8)</f>
        <v>2806.7855819850001</v>
      </c>
    </row>
    <row r="11" spans="1:14" s="545" customFormat="1" ht="13.5">
      <c r="B11" s="491" t="s">
        <v>82</v>
      </c>
      <c r="C11" s="491"/>
      <c r="D11" s="491"/>
      <c r="E11" s="491"/>
      <c r="F11" s="491"/>
      <c r="G11" s="491"/>
      <c r="H11" s="491"/>
      <c r="M11" s="491"/>
      <c r="N11" s="491"/>
    </row>
    <row r="12" spans="1:14" s="545" customFormat="1" ht="29.25" customHeight="1">
      <c r="B12" s="818" t="s">
        <v>79</v>
      </c>
      <c r="C12" s="819"/>
      <c r="D12" s="546" t="s">
        <v>83</v>
      </c>
      <c r="E12" s="547" t="s">
        <v>84</v>
      </c>
      <c r="F12" s="547" t="s">
        <v>85</v>
      </c>
      <c r="G12" s="547" t="s">
        <v>86</v>
      </c>
      <c r="H12" s="547" t="s">
        <v>87</v>
      </c>
      <c r="M12" s="491"/>
      <c r="N12" s="491"/>
    </row>
    <row r="13" spans="1:14" s="545" customFormat="1" ht="14.25">
      <c r="B13" s="813" t="s">
        <v>210</v>
      </c>
      <c r="C13" s="815"/>
      <c r="D13" s="806">
        <v>11</v>
      </c>
      <c r="E13" s="804">
        <v>53</v>
      </c>
      <c r="F13" s="804">
        <v>14</v>
      </c>
      <c r="G13" s="804">
        <v>19</v>
      </c>
      <c r="H13" s="805">
        <f>SUM(D13:G13)</f>
        <v>97</v>
      </c>
      <c r="M13" s="491"/>
      <c r="N13" s="491"/>
    </row>
    <row r="14" spans="1:14" s="545" customFormat="1" ht="14.25">
      <c r="B14" s="813" t="s">
        <v>213</v>
      </c>
      <c r="C14" s="815"/>
      <c r="D14" s="806">
        <v>13</v>
      </c>
      <c r="E14" s="804">
        <v>57</v>
      </c>
      <c r="F14" s="804">
        <v>13</v>
      </c>
      <c r="G14" s="804">
        <v>24</v>
      </c>
      <c r="H14" s="805">
        <f t="shared" ref="H14:H15" si="3">SUM(D14:G14)</f>
        <v>107</v>
      </c>
      <c r="M14" s="491"/>
      <c r="N14" s="491"/>
    </row>
    <row r="15" spans="1:14" s="545" customFormat="1" ht="14.25">
      <c r="B15" s="813" t="s">
        <v>247</v>
      </c>
      <c r="C15" s="815"/>
      <c r="D15" s="806">
        <v>16</v>
      </c>
      <c r="E15" s="804">
        <v>54</v>
      </c>
      <c r="F15" s="804">
        <v>17</v>
      </c>
      <c r="G15" s="804">
        <v>24</v>
      </c>
      <c r="H15" s="805">
        <f t="shared" si="3"/>
        <v>111</v>
      </c>
      <c r="M15" s="491"/>
      <c r="N15" s="491"/>
    </row>
    <row r="16" spans="1:14" s="545" customFormat="1" ht="14.25">
      <c r="B16" s="549" t="s">
        <v>75</v>
      </c>
      <c r="C16" s="546"/>
      <c r="D16" s="550">
        <f>SUM(D13:D15)</f>
        <v>40</v>
      </c>
      <c r="E16" s="550">
        <f>SUM(E13:E15)</f>
        <v>164</v>
      </c>
      <c r="F16" s="550">
        <f>SUM(F13:F15)</f>
        <v>44</v>
      </c>
      <c r="G16" s="550">
        <f>SUM(G13:G15)</f>
        <v>67</v>
      </c>
      <c r="H16" s="550">
        <f>SUM(H13:H15)</f>
        <v>315</v>
      </c>
      <c r="M16" s="491"/>
      <c r="N16" s="491"/>
    </row>
    <row r="18" spans="1:7">
      <c r="A18" s="545"/>
      <c r="B18" s="571" t="s">
        <v>149</v>
      </c>
      <c r="C18" s="545"/>
      <c r="D18" s="572"/>
      <c r="E18" s="572"/>
      <c r="F18" s="572"/>
      <c r="G18" s="572"/>
    </row>
    <row r="19" spans="1:7">
      <c r="A19" s="545"/>
      <c r="B19" s="545"/>
      <c r="C19" s="573"/>
      <c r="D19" s="573"/>
      <c r="E19" s="573"/>
      <c r="F19" s="573"/>
      <c r="G19" s="573"/>
    </row>
    <row r="20" spans="1:7" ht="67.5">
      <c r="A20" s="574" t="s">
        <v>34</v>
      </c>
      <c r="B20" s="575" t="s">
        <v>96</v>
      </c>
      <c r="C20" s="575" t="s">
        <v>131</v>
      </c>
      <c r="D20" s="575" t="s">
        <v>132</v>
      </c>
      <c r="E20" s="575" t="s">
        <v>133</v>
      </c>
      <c r="F20" s="575" t="s">
        <v>134</v>
      </c>
      <c r="G20" s="575" t="s">
        <v>135</v>
      </c>
    </row>
    <row r="21" spans="1:7" ht="81">
      <c r="A21" s="576">
        <v>1</v>
      </c>
      <c r="B21" s="570" t="s">
        <v>177</v>
      </c>
      <c r="C21" s="577" t="s">
        <v>94</v>
      </c>
      <c r="D21" s="577">
        <v>500</v>
      </c>
      <c r="E21" s="577">
        <v>20</v>
      </c>
      <c r="F21" s="577">
        <v>12</v>
      </c>
      <c r="G21" s="578">
        <f>E21*D21*F21/1000</f>
        <v>120</v>
      </c>
    </row>
    <row r="22" spans="1:7" ht="94.5">
      <c r="A22" s="576">
        <v>2</v>
      </c>
      <c r="B22" s="570" t="s">
        <v>181</v>
      </c>
      <c r="C22" s="577" t="s">
        <v>94</v>
      </c>
      <c r="D22" s="577">
        <v>580</v>
      </c>
      <c r="E22" s="577">
        <v>20</v>
      </c>
      <c r="F22" s="577">
        <v>12</v>
      </c>
      <c r="G22" s="578">
        <v>139.19999999999999</v>
      </c>
    </row>
    <row r="23" spans="1:7" ht="81">
      <c r="A23" s="576">
        <v>3</v>
      </c>
      <c r="B23" s="570" t="s">
        <v>268</v>
      </c>
      <c r="C23" s="577" t="s">
        <v>94</v>
      </c>
      <c r="D23" s="577">
        <v>700</v>
      </c>
      <c r="E23" s="577">
        <v>20</v>
      </c>
      <c r="F23" s="577">
        <v>12</v>
      </c>
      <c r="G23" s="578">
        <v>168</v>
      </c>
    </row>
    <row r="24" spans="1:7">
      <c r="A24" s="579"/>
      <c r="B24" s="580" t="s">
        <v>176</v>
      </c>
      <c r="C24" s="518"/>
      <c r="D24" s="518"/>
      <c r="E24" s="518"/>
      <c r="F24" s="518"/>
      <c r="G24" s="581">
        <f>SUM(G21:G22)</f>
        <v>259.2</v>
      </c>
    </row>
  </sheetData>
  <mergeCells count="5">
    <mergeCell ref="B14:C14"/>
    <mergeCell ref="B15:C15"/>
    <mergeCell ref="B12:C12"/>
    <mergeCell ref="B13:C13"/>
    <mergeCell ref="B2:I2"/>
  </mergeCells>
  <pageMargins left="0.7" right="0.7" top="0.75" bottom="0.75" header="0.3" footer="0.3"/>
  <pageSetup paperSize="9" scale="63" orientation="portrait" verticalDpi="0" r:id="rId1"/>
  <colBreaks count="1" manualBreakCount="1">
    <brk id="9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27"/>
  <sheetViews>
    <sheetView zoomScaleNormal="100" workbookViewId="0">
      <selection activeCell="D10" sqref="D10"/>
    </sheetView>
  </sheetViews>
  <sheetFormatPr defaultColWidth="9.140625" defaultRowHeight="16.5"/>
  <cols>
    <col min="1" max="1" width="4.140625" style="803" bestFit="1" customWidth="1"/>
    <col min="2" max="2" width="37.140625" style="497" customWidth="1"/>
    <col min="3" max="3" width="20.140625" style="497" customWidth="1"/>
    <col min="4" max="4" width="10.140625" style="497" bestFit="1" customWidth="1"/>
    <col min="5" max="5" width="9" style="497" bestFit="1" customWidth="1"/>
    <col min="6" max="6" width="10.28515625" style="497" bestFit="1" customWidth="1"/>
    <col min="7" max="7" width="12.85546875" style="497" customWidth="1"/>
    <col min="8" max="8" width="11.28515625" style="497" customWidth="1"/>
    <col min="9" max="9" width="12" style="497" customWidth="1"/>
    <col min="10" max="16384" width="9.140625" style="497"/>
  </cols>
  <sheetData>
    <row r="1" spans="1:14" ht="18" thickBot="1">
      <c r="A1" s="798"/>
      <c r="B1" s="507" t="s">
        <v>141</v>
      </c>
      <c r="C1" s="508" t="s">
        <v>233</v>
      </c>
      <c r="D1" s="509"/>
      <c r="E1" s="509"/>
      <c r="F1" s="510"/>
      <c r="G1" s="511"/>
      <c r="H1" s="506"/>
      <c r="I1" s="506"/>
    </row>
    <row r="2" spans="1:14" ht="28.5" customHeight="1">
      <c r="A2" s="799"/>
      <c r="B2" s="816" t="s">
        <v>150</v>
      </c>
      <c r="C2" s="816"/>
      <c r="D2" s="816"/>
      <c r="E2" s="816"/>
      <c r="F2" s="816"/>
      <c r="G2" s="816"/>
      <c r="H2" s="816"/>
      <c r="I2" s="816"/>
    </row>
    <row r="3" spans="1:14" ht="17.25">
      <c r="A3" s="800"/>
      <c r="B3" s="771"/>
      <c r="C3" s="771"/>
      <c r="D3" s="771"/>
      <c r="E3" s="771"/>
      <c r="F3" s="771"/>
      <c r="G3" s="771"/>
      <c r="H3" s="771"/>
      <c r="I3" s="771"/>
    </row>
    <row r="4" spans="1:14" ht="108">
      <c r="A4" s="772" t="s">
        <v>63</v>
      </c>
      <c r="B4" s="519" t="s">
        <v>89</v>
      </c>
      <c r="C4" s="520" t="s">
        <v>90</v>
      </c>
      <c r="D4" s="520" t="s">
        <v>142</v>
      </c>
      <c r="E4" s="520" t="s">
        <v>92</v>
      </c>
      <c r="F4" s="520" t="s">
        <v>93</v>
      </c>
      <c r="G4" s="520" t="s">
        <v>114</v>
      </c>
      <c r="H4" s="520" t="s">
        <v>165</v>
      </c>
      <c r="I4" s="520" t="s">
        <v>166</v>
      </c>
    </row>
    <row r="5" spans="1:14">
      <c r="A5" s="797">
        <v>1</v>
      </c>
      <c r="B5" s="566">
        <v>2</v>
      </c>
      <c r="C5" s="566">
        <v>4</v>
      </c>
      <c r="D5" s="565">
        <v>5</v>
      </c>
      <c r="E5" s="566">
        <v>6</v>
      </c>
      <c r="F5" s="565">
        <v>7</v>
      </c>
      <c r="G5" s="566">
        <v>8</v>
      </c>
      <c r="H5" s="565">
        <v>9</v>
      </c>
      <c r="I5" s="565">
        <v>11</v>
      </c>
    </row>
    <row r="6" spans="1:14">
      <c r="A6" s="569">
        <v>1</v>
      </c>
      <c r="B6" s="570" t="s">
        <v>170</v>
      </c>
      <c r="C6" s="539">
        <v>395.8</v>
      </c>
      <c r="D6" s="774">
        <f>H14</f>
        <v>85</v>
      </c>
      <c r="E6" s="773">
        <v>252</v>
      </c>
      <c r="F6" s="772">
        <v>200.47</v>
      </c>
      <c r="G6" s="772">
        <f>30/1000</f>
        <v>0.03</v>
      </c>
      <c r="H6" s="567">
        <f>(D6+C6/0.8)*E6*F6*G6</f>
        <v>878641.96769999992</v>
      </c>
      <c r="I6" s="568">
        <f>H6/1000</f>
        <v>878.6419676999999</v>
      </c>
    </row>
    <row r="7" spans="1:14">
      <c r="A7" s="772">
        <v>2</v>
      </c>
      <c r="B7" s="570" t="s">
        <v>171</v>
      </c>
      <c r="C7" s="539">
        <v>557.34</v>
      </c>
      <c r="D7" s="774">
        <f>H15</f>
        <v>89</v>
      </c>
      <c r="E7" s="773">
        <v>252</v>
      </c>
      <c r="F7" s="772">
        <v>200.47</v>
      </c>
      <c r="G7" s="772">
        <f t="shared" ref="G7:G9" si="0">30/1000</f>
        <v>0.03</v>
      </c>
      <c r="H7" s="567">
        <f t="shared" ref="H7:H9" si="1">(D7+C7/0.8)*E7*F7*G7</f>
        <v>1190732.2604099999</v>
      </c>
      <c r="I7" s="568">
        <f t="shared" ref="I7:I9" si="2">H7/1000</f>
        <v>1190.73226041</v>
      </c>
    </row>
    <row r="8" spans="1:14">
      <c r="A8" s="569">
        <v>3</v>
      </c>
      <c r="B8" s="570" t="s">
        <v>172</v>
      </c>
      <c r="C8" s="556">
        <v>528</v>
      </c>
      <c r="D8" s="774">
        <f>H16</f>
        <v>89</v>
      </c>
      <c r="E8" s="773">
        <v>252</v>
      </c>
      <c r="F8" s="772">
        <v>200.47</v>
      </c>
      <c r="G8" s="772">
        <f t="shared" si="0"/>
        <v>0.03</v>
      </c>
      <c r="H8" s="567">
        <f t="shared" si="1"/>
        <v>1135149.3467999999</v>
      </c>
      <c r="I8" s="568">
        <f t="shared" si="2"/>
        <v>1135.1493467999999</v>
      </c>
    </row>
    <row r="9" spans="1:14">
      <c r="A9" s="772">
        <v>4</v>
      </c>
      <c r="B9" s="570" t="s">
        <v>174</v>
      </c>
      <c r="C9" s="556">
        <v>517.88</v>
      </c>
      <c r="D9" s="774">
        <f>+H17</f>
        <v>88</v>
      </c>
      <c r="E9" s="773">
        <v>252</v>
      </c>
      <c r="F9" s="772">
        <v>200.47</v>
      </c>
      <c r="G9" s="772">
        <f t="shared" si="0"/>
        <v>0.03</v>
      </c>
      <c r="H9" s="567">
        <f t="shared" si="1"/>
        <v>1114462.0456199998</v>
      </c>
      <c r="I9" s="568">
        <f t="shared" si="2"/>
        <v>1114.4620456199998</v>
      </c>
    </row>
    <row r="10" spans="1:14">
      <c r="A10" s="772"/>
      <c r="B10" s="774" t="s">
        <v>75</v>
      </c>
      <c r="C10" s="538">
        <f>SUM(C6:C9)</f>
        <v>1999.02</v>
      </c>
      <c r="D10" s="226">
        <f>SUM(D6:D9)</f>
        <v>351</v>
      </c>
      <c r="E10" s="774" t="s">
        <v>7</v>
      </c>
      <c r="F10" s="774" t="s">
        <v>7</v>
      </c>
      <c r="G10" s="774" t="s">
        <v>7</v>
      </c>
      <c r="H10" s="567">
        <f>SUM(H6:H9)</f>
        <v>4318985.62053</v>
      </c>
      <c r="I10" s="767">
        <f>SUM(I6:I9)</f>
        <v>4318.9856205299993</v>
      </c>
    </row>
    <row r="12" spans="1:14" s="545" customFormat="1" ht="13.5">
      <c r="A12" s="801"/>
      <c r="B12" s="775" t="s">
        <v>82</v>
      </c>
      <c r="C12" s="775"/>
      <c r="D12" s="775"/>
      <c r="E12" s="775"/>
      <c r="F12" s="775"/>
      <c r="G12" s="775"/>
      <c r="H12" s="775"/>
      <c r="M12" s="775"/>
      <c r="N12" s="775"/>
    </row>
    <row r="13" spans="1:14" s="545" customFormat="1" ht="29.25" customHeight="1">
      <c r="A13" s="801"/>
      <c r="B13" s="818" t="s">
        <v>79</v>
      </c>
      <c r="C13" s="819"/>
      <c r="D13" s="546" t="s">
        <v>83</v>
      </c>
      <c r="E13" s="547" t="s">
        <v>84</v>
      </c>
      <c r="F13" s="547" t="s">
        <v>85</v>
      </c>
      <c r="G13" s="547" t="s">
        <v>86</v>
      </c>
      <c r="H13" s="547" t="s">
        <v>87</v>
      </c>
      <c r="M13" s="775"/>
      <c r="N13" s="775"/>
    </row>
    <row r="14" spans="1:14" s="545" customFormat="1" ht="14.25">
      <c r="A14" s="801"/>
      <c r="B14" s="813" t="s">
        <v>209</v>
      </c>
      <c r="C14" s="815"/>
      <c r="D14" s="546">
        <v>8</v>
      </c>
      <c r="E14" s="547">
        <v>35</v>
      </c>
      <c r="F14" s="547">
        <v>16</v>
      </c>
      <c r="G14" s="547">
        <v>26</v>
      </c>
      <c r="H14" s="548">
        <f>SUM(D14:G14)</f>
        <v>85</v>
      </c>
      <c r="M14" s="775"/>
      <c r="N14" s="775"/>
    </row>
    <row r="15" spans="1:14" s="545" customFormat="1" ht="14.25">
      <c r="A15" s="801"/>
      <c r="B15" s="813" t="s">
        <v>248</v>
      </c>
      <c r="C15" s="815"/>
      <c r="D15" s="546">
        <v>10</v>
      </c>
      <c r="E15" s="547">
        <v>37</v>
      </c>
      <c r="F15" s="547">
        <v>16</v>
      </c>
      <c r="G15" s="547">
        <v>26</v>
      </c>
      <c r="H15" s="548">
        <f t="shared" ref="H15:H17" si="3">SUM(D15:G15)</f>
        <v>89</v>
      </c>
      <c r="M15" s="775"/>
      <c r="N15" s="775"/>
    </row>
    <row r="16" spans="1:14" s="545" customFormat="1" ht="14.25">
      <c r="A16" s="801"/>
      <c r="B16" s="813" t="s">
        <v>211</v>
      </c>
      <c r="C16" s="815"/>
      <c r="D16" s="546">
        <v>10</v>
      </c>
      <c r="E16" s="547">
        <v>37</v>
      </c>
      <c r="F16" s="547">
        <v>16</v>
      </c>
      <c r="G16" s="547">
        <v>26</v>
      </c>
      <c r="H16" s="548">
        <f t="shared" si="3"/>
        <v>89</v>
      </c>
      <c r="M16" s="775"/>
      <c r="N16" s="775"/>
    </row>
    <row r="17" spans="1:14" s="545" customFormat="1" ht="14.25">
      <c r="A17" s="801"/>
      <c r="B17" s="813" t="s">
        <v>212</v>
      </c>
      <c r="C17" s="815"/>
      <c r="D17" s="546">
        <v>9</v>
      </c>
      <c r="E17" s="547">
        <v>36</v>
      </c>
      <c r="F17" s="547">
        <v>17</v>
      </c>
      <c r="G17" s="547">
        <v>26</v>
      </c>
      <c r="H17" s="548">
        <f t="shared" si="3"/>
        <v>88</v>
      </c>
      <c r="M17" s="775"/>
      <c r="N17" s="775"/>
    </row>
    <row r="18" spans="1:14" s="545" customFormat="1" ht="14.25">
      <c r="A18" s="801"/>
      <c r="B18" s="549" t="s">
        <v>75</v>
      </c>
      <c r="C18" s="546"/>
      <c r="D18" s="550">
        <f>SUM(D14:D17)</f>
        <v>37</v>
      </c>
      <c r="E18" s="550">
        <f>SUM(E14:E17)</f>
        <v>145</v>
      </c>
      <c r="F18" s="550">
        <f>SUM(F14:F17)</f>
        <v>65</v>
      </c>
      <c r="G18" s="550">
        <f>SUM(G14:G17)</f>
        <v>104</v>
      </c>
      <c r="H18" s="550">
        <f>SUM(H14:H17)</f>
        <v>351</v>
      </c>
      <c r="M18" s="775"/>
      <c r="N18" s="775"/>
    </row>
    <row r="20" spans="1:14">
      <c r="A20" s="801"/>
      <c r="B20" s="571" t="s">
        <v>149</v>
      </c>
      <c r="C20" s="545"/>
      <c r="D20" s="572"/>
      <c r="E20" s="572"/>
      <c r="F20" s="572"/>
      <c r="G20" s="572"/>
    </row>
    <row r="21" spans="1:14">
      <c r="A21" s="801"/>
      <c r="B21" s="545"/>
      <c r="C21" s="573"/>
      <c r="D21" s="573"/>
      <c r="E21" s="573"/>
      <c r="F21" s="573"/>
      <c r="G21" s="573"/>
    </row>
    <row r="22" spans="1:14" ht="67.5">
      <c r="A22" s="802" t="s">
        <v>34</v>
      </c>
      <c r="B22" s="575" t="s">
        <v>96</v>
      </c>
      <c r="C22" s="575" t="s">
        <v>131</v>
      </c>
      <c r="D22" s="575" t="s">
        <v>132</v>
      </c>
      <c r="E22" s="575" t="s">
        <v>133</v>
      </c>
      <c r="F22" s="575" t="s">
        <v>134</v>
      </c>
      <c r="G22" s="575" t="s">
        <v>135</v>
      </c>
    </row>
    <row r="23" spans="1:14" ht="81">
      <c r="A23" s="802">
        <v>1</v>
      </c>
      <c r="B23" s="570" t="s">
        <v>178</v>
      </c>
      <c r="C23" s="577" t="s">
        <v>94</v>
      </c>
      <c r="D23" s="577">
        <v>859</v>
      </c>
      <c r="E23" s="577">
        <v>20</v>
      </c>
      <c r="F23" s="577">
        <v>12</v>
      </c>
      <c r="G23" s="578">
        <v>206.16</v>
      </c>
    </row>
    <row r="24" spans="1:14" ht="81">
      <c r="A24" s="802">
        <v>2</v>
      </c>
      <c r="B24" s="570" t="s">
        <v>267</v>
      </c>
      <c r="C24" s="577" t="s">
        <v>94</v>
      </c>
      <c r="D24" s="577">
        <v>700</v>
      </c>
      <c r="E24" s="577">
        <v>20</v>
      </c>
      <c r="F24" s="577">
        <v>12</v>
      </c>
      <c r="G24" s="578">
        <v>168</v>
      </c>
    </row>
    <row r="25" spans="1:14" ht="81">
      <c r="A25" s="802">
        <v>3</v>
      </c>
      <c r="B25" s="570" t="s">
        <v>179</v>
      </c>
      <c r="C25" s="577" t="s">
        <v>129</v>
      </c>
      <c r="D25" s="577">
        <v>200</v>
      </c>
      <c r="E25" s="577">
        <v>20</v>
      </c>
      <c r="F25" s="577">
        <v>12</v>
      </c>
      <c r="G25" s="578">
        <v>48</v>
      </c>
    </row>
    <row r="26" spans="1:14" ht="81">
      <c r="A26" s="802">
        <v>4</v>
      </c>
      <c r="B26" s="570" t="s">
        <v>180</v>
      </c>
      <c r="C26" s="577" t="s">
        <v>94</v>
      </c>
      <c r="D26" s="577">
        <v>980</v>
      </c>
      <c r="E26" s="577">
        <v>20</v>
      </c>
      <c r="F26" s="577">
        <v>12</v>
      </c>
      <c r="G26" s="578">
        <v>235.2</v>
      </c>
    </row>
    <row r="27" spans="1:14">
      <c r="A27" s="772"/>
      <c r="B27" s="580" t="s">
        <v>176</v>
      </c>
      <c r="C27" s="772"/>
      <c r="D27" s="772"/>
      <c r="E27" s="772"/>
      <c r="F27" s="772"/>
      <c r="G27" s="581">
        <f>SUM(G23:G26)</f>
        <v>657.3599999999999</v>
      </c>
    </row>
  </sheetData>
  <mergeCells count="6">
    <mergeCell ref="B2:I2"/>
    <mergeCell ref="B17:C17"/>
    <mergeCell ref="B13:C13"/>
    <mergeCell ref="B14:C14"/>
    <mergeCell ref="B15:C15"/>
    <mergeCell ref="B16:C16"/>
  </mergeCells>
  <pageMargins left="0.7" right="0.7" top="0.75" bottom="0.75" header="0.3" footer="0.3"/>
  <pageSetup paperSize="9" scale="63" orientation="portrait" verticalDpi="0" r:id="rId1"/>
  <colBreaks count="1" manualBreakCount="1">
    <brk id="9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20"/>
  <sheetViews>
    <sheetView workbookViewId="0">
      <selection activeCell="F15" sqref="F15:H15"/>
    </sheetView>
  </sheetViews>
  <sheetFormatPr defaultRowHeight="15"/>
  <cols>
    <col min="7" max="8" width="11.28515625" customWidth="1"/>
  </cols>
  <sheetData>
    <row r="13" spans="1:9" s="528" customFormat="1" ht="15.75">
      <c r="A13" s="527"/>
      <c r="B13" s="527" t="s">
        <v>82</v>
      </c>
      <c r="C13" s="527"/>
      <c r="D13" s="527"/>
      <c r="E13" s="527"/>
      <c r="F13" s="527"/>
      <c r="G13" s="527"/>
      <c r="H13" s="527"/>
      <c r="I13" s="527"/>
    </row>
    <row r="14" spans="1:9" s="528" customFormat="1" ht="64.5">
      <c r="A14" s="529" t="s">
        <v>79</v>
      </c>
      <c r="B14" s="530"/>
      <c r="C14" s="531"/>
      <c r="D14" s="620" t="s">
        <v>228</v>
      </c>
      <c r="E14" s="532" t="s">
        <v>83</v>
      </c>
      <c r="F14" s="532" t="s">
        <v>84</v>
      </c>
      <c r="G14" s="532" t="s">
        <v>85</v>
      </c>
      <c r="H14" s="532" t="s">
        <v>86</v>
      </c>
      <c r="I14" s="532" t="s">
        <v>87</v>
      </c>
    </row>
    <row r="15" spans="1:9" s="528" customFormat="1" ht="15.75">
      <c r="A15" s="842" t="s">
        <v>46</v>
      </c>
      <c r="B15" s="843"/>
      <c r="C15" s="844"/>
      <c r="D15" s="533">
        <f>BDX!D17</f>
        <v>5</v>
      </c>
      <c r="E15" s="624">
        <f>+BDX!E17+Kargadrich!E15+vchrabek!D15+v.qr!D18+aragac!D15+ararat!D17+armavir!D14+gexarquniq!D18+lori!D17+kotayq!D17+shirak!D15+Syuniq!D15+tavush!D17+snankutyan!D13+Ver.Hakakorupcion!D13+'Yerevan qax'!D16+'Yerevan qr'!D18</f>
        <v>327</v>
      </c>
      <c r="F15" s="624">
        <f>+BDX!F17+Kargadrich!F15+vchrabek!E15+v.qr!E18+aragac!E15+ararat!E17+armavir!E14+gexarquniq!E18+lori!E17+kotayq!E17+shirak!E15+Syuniq!E15+tavush!E17+snankutyan!E13+Ver.Hakakorupcion!E13+'Yerevan qax'!E16+'Yerevan qr'!E18</f>
        <v>1404</v>
      </c>
      <c r="G15" s="624">
        <f>+BDX!G17+Kargadrich!G15+vchrabek!F15+v.qr!F18+aragac!F15+ararat!F17+armavir!F14+gexarquniq!F18+lori!F17+kotayq!F17+shirak!F15+Syuniq!F15+tavush!F17+snankutyan!F13+Ver.Hakakorupcion!F13+'Yerevan qax'!F16+'Yerevan qr'!F18</f>
        <v>483</v>
      </c>
      <c r="H15" s="624">
        <f>+BDX!H17+Kargadrich!H15+vchrabek!G15+v.qr!G18+aragac!G15+ararat!G17+armavir!G14+gexarquniq!G18+lori!G17+kotayq!G17+shirak!G15+Syuniq!G15+tavush!G17+snankutyan!G13+Ver.Hakakorupcion!G13+'Yerevan qax'!G16+'Yerevan qr'!G18</f>
        <v>753</v>
      </c>
      <c r="I15" s="534">
        <f>SUM(D15:H15)</f>
        <v>2972</v>
      </c>
    </row>
    <row r="16" spans="1:9" s="528" customFormat="1" ht="15.75">
      <c r="A16" s="842"/>
      <c r="B16" s="843"/>
      <c r="C16" s="844"/>
      <c r="D16" s="533"/>
      <c r="E16" s="533"/>
      <c r="F16" s="533"/>
      <c r="G16" s="533"/>
      <c r="H16" s="533"/>
      <c r="I16" s="534"/>
    </row>
    <row r="17" spans="1:9" s="528" customFormat="1" ht="15.75">
      <c r="A17" s="842"/>
      <c r="B17" s="843"/>
      <c r="C17" s="844"/>
      <c r="D17" s="533"/>
      <c r="E17" s="533"/>
      <c r="F17" s="533"/>
      <c r="G17" s="533"/>
      <c r="H17" s="533"/>
      <c r="I17" s="534"/>
    </row>
    <row r="18" spans="1:9" s="528" customFormat="1" ht="15.75">
      <c r="A18" s="842"/>
      <c r="B18" s="843"/>
      <c r="C18" s="844"/>
      <c r="D18" s="533"/>
      <c r="E18" s="533"/>
      <c r="F18" s="533"/>
      <c r="G18" s="533"/>
      <c r="H18" s="533"/>
      <c r="I18" s="534"/>
    </row>
    <row r="19" spans="1:9" s="528" customFormat="1" ht="15.75">
      <c r="A19" s="842"/>
      <c r="B19" s="843"/>
      <c r="C19" s="844"/>
      <c r="D19" s="533"/>
      <c r="E19" s="533"/>
      <c r="F19" s="533"/>
      <c r="G19" s="533"/>
      <c r="H19" s="533"/>
      <c r="I19" s="534"/>
    </row>
    <row r="20" spans="1:9" s="528" customFormat="1" ht="15.75">
      <c r="A20" s="534" t="s">
        <v>75</v>
      </c>
      <c r="B20" s="530"/>
      <c r="C20" s="531"/>
      <c r="D20" s="534">
        <f t="shared" ref="D20:I20" si="0">SUM(D15:D19)</f>
        <v>5</v>
      </c>
      <c r="E20" s="534">
        <f t="shared" si="0"/>
        <v>327</v>
      </c>
      <c r="F20" s="534">
        <f t="shared" si="0"/>
        <v>1404</v>
      </c>
      <c r="G20" s="534">
        <f t="shared" si="0"/>
        <v>483</v>
      </c>
      <c r="H20" s="534">
        <f t="shared" si="0"/>
        <v>753</v>
      </c>
      <c r="I20" s="534">
        <f t="shared" si="0"/>
        <v>2972</v>
      </c>
    </row>
  </sheetData>
  <mergeCells count="5">
    <mergeCell ref="A15:C15"/>
    <mergeCell ref="A16:C16"/>
    <mergeCell ref="A17:C17"/>
    <mergeCell ref="A18:C18"/>
    <mergeCell ref="A19:C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I35"/>
  <sheetViews>
    <sheetView zoomScaleNormal="100" workbookViewId="0">
      <selection activeCell="H14" sqref="H14"/>
    </sheetView>
  </sheetViews>
  <sheetFormatPr defaultColWidth="9.140625" defaultRowHeight="17.25"/>
  <cols>
    <col min="1" max="1" width="5.5703125" style="640" customWidth="1"/>
    <col min="2" max="2" width="30" style="640" customWidth="1"/>
    <col min="3" max="3" width="23" style="640" customWidth="1"/>
    <col min="4" max="4" width="10.7109375" style="640" customWidth="1"/>
    <col min="5" max="5" width="12" style="640" customWidth="1"/>
    <col min="6" max="6" width="11.42578125" style="640" customWidth="1"/>
    <col min="7" max="7" width="12.5703125" style="640" customWidth="1"/>
    <col min="8" max="9" width="11.85546875" style="640" customWidth="1"/>
    <col min="10" max="16384" width="9.140625" style="640"/>
  </cols>
  <sheetData>
    <row r="1" spans="1:9" s="506" customFormat="1" ht="18" thickBot="1">
      <c r="B1" s="507" t="s">
        <v>141</v>
      </c>
      <c r="C1" s="817" t="s">
        <v>227</v>
      </c>
      <c r="D1" s="817"/>
      <c r="E1" s="817"/>
      <c r="F1" s="817"/>
      <c r="G1" s="817"/>
      <c r="H1" s="817"/>
      <c r="I1" s="817"/>
    </row>
    <row r="2" spans="1:9" s="585" customFormat="1" ht="31.5" customHeight="1">
      <c r="A2" s="512"/>
      <c r="B2" s="816" t="s">
        <v>150</v>
      </c>
      <c r="C2" s="816"/>
      <c r="D2" s="816"/>
      <c r="E2" s="816"/>
      <c r="F2" s="816"/>
      <c r="G2" s="816"/>
      <c r="H2" s="816"/>
      <c r="I2" s="816"/>
    </row>
    <row r="3" spans="1:9" s="517" customFormat="1" ht="12" customHeight="1">
      <c r="A3" s="516"/>
    </row>
    <row r="4" spans="1:9" s="517" customFormat="1" ht="104.25" customHeight="1">
      <c r="A4" s="518" t="s">
        <v>63</v>
      </c>
      <c r="B4" s="519" t="s">
        <v>89</v>
      </c>
      <c r="C4" s="520" t="s">
        <v>90</v>
      </c>
      <c r="D4" s="520" t="s">
        <v>142</v>
      </c>
      <c r="E4" s="520" t="s">
        <v>92</v>
      </c>
      <c r="F4" s="520" t="s">
        <v>93</v>
      </c>
      <c r="G4" s="520" t="s">
        <v>114</v>
      </c>
      <c r="H4" s="520" t="s">
        <v>165</v>
      </c>
      <c r="I4" s="520" t="s">
        <v>166</v>
      </c>
    </row>
    <row r="5" spans="1:9" s="517" customFormat="1">
      <c r="A5" s="521">
        <v>1</v>
      </c>
      <c r="B5" s="522">
        <v>2</v>
      </c>
      <c r="C5" s="522">
        <v>4</v>
      </c>
      <c r="D5" s="521">
        <v>5</v>
      </c>
      <c r="E5" s="522">
        <v>6</v>
      </c>
      <c r="F5" s="521">
        <v>7</v>
      </c>
      <c r="G5" s="522">
        <v>8</v>
      </c>
      <c r="H5" s="521">
        <v>9</v>
      </c>
      <c r="I5" s="521">
        <v>11</v>
      </c>
    </row>
    <row r="6" spans="1:9" s="517" customFormat="1">
      <c r="A6" s="521"/>
      <c r="B6" s="522"/>
      <c r="C6" s="522"/>
      <c r="D6" s="521"/>
      <c r="E6" s="522"/>
      <c r="F6" s="521"/>
      <c r="G6" s="522"/>
      <c r="H6" s="521"/>
      <c r="I6" s="521"/>
    </row>
    <row r="7" spans="1:9" s="517" customFormat="1" ht="28.5" customHeight="1">
      <c r="A7" s="518">
        <v>1</v>
      </c>
      <c r="B7" s="523" t="s">
        <v>249</v>
      </c>
      <c r="C7" s="521">
        <v>45</v>
      </c>
      <c r="D7" s="521">
        <f>+I14</f>
        <v>32</v>
      </c>
      <c r="E7" s="521">
        <v>252</v>
      </c>
      <c r="F7" s="521">
        <v>200.47</v>
      </c>
      <c r="G7" s="521">
        <f>30/1000</f>
        <v>0.03</v>
      </c>
      <c r="H7" s="568">
        <f>(D7+C7/0.8)*E7*F7*G7</f>
        <v>133747.5699</v>
      </c>
      <c r="I7" s="769">
        <f>H7/1000</f>
        <v>133.7475699</v>
      </c>
    </row>
    <row r="8" spans="1:9" s="517" customFormat="1" ht="17.25" customHeight="1">
      <c r="A8" s="521"/>
      <c r="B8" s="523"/>
      <c r="C8" s="522"/>
      <c r="D8" s="522"/>
      <c r="E8" s="226"/>
      <c r="F8" s="521"/>
      <c r="G8" s="521"/>
      <c r="H8" s="568"/>
      <c r="I8" s="769"/>
    </row>
    <row r="9" spans="1:9" s="517" customFormat="1" ht="20.25" customHeight="1">
      <c r="A9" s="521"/>
      <c r="B9" s="526" t="s">
        <v>75</v>
      </c>
      <c r="C9" s="521">
        <f>SUM(C7:C8)</f>
        <v>45</v>
      </c>
      <c r="D9" s="226">
        <f>SUM(D7:D8)</f>
        <v>32</v>
      </c>
      <c r="E9" s="522" t="s">
        <v>7</v>
      </c>
      <c r="F9" s="522" t="s">
        <v>7</v>
      </c>
      <c r="G9" s="522" t="s">
        <v>7</v>
      </c>
      <c r="H9" s="568">
        <f>SUM(H7:H8)</f>
        <v>133747.5699</v>
      </c>
      <c r="I9" s="770">
        <f>SUM(I7:I8)</f>
        <v>133.7475699</v>
      </c>
    </row>
    <row r="11" spans="1:9" s="628" customFormat="1" ht="15" customHeight="1">
      <c r="A11" s="491"/>
      <c r="B11" s="491"/>
      <c r="C11" s="491"/>
      <c r="D11" s="491"/>
      <c r="E11" s="491"/>
      <c r="F11" s="491"/>
      <c r="G11" s="491"/>
      <c r="H11" s="491"/>
      <c r="I11" s="491"/>
    </row>
    <row r="12" spans="1:9" s="628" customFormat="1">
      <c r="A12" s="491"/>
      <c r="B12" s="491" t="s">
        <v>82</v>
      </c>
      <c r="C12" s="491"/>
      <c r="D12" s="491"/>
      <c r="E12" s="491"/>
      <c r="F12" s="491"/>
      <c r="G12" s="491"/>
      <c r="H12" s="491"/>
      <c r="I12" s="491"/>
    </row>
    <row r="13" spans="1:9" s="628" customFormat="1" ht="68.25">
      <c r="A13" s="629" t="s">
        <v>79</v>
      </c>
      <c r="B13" s="630"/>
      <c r="C13" s="546"/>
      <c r="D13" s="631" t="s">
        <v>228</v>
      </c>
      <c r="E13" s="632" t="s">
        <v>83</v>
      </c>
      <c r="F13" s="632" t="s">
        <v>84</v>
      </c>
      <c r="G13" s="632" t="s">
        <v>85</v>
      </c>
      <c r="H13" s="632" t="s">
        <v>86</v>
      </c>
      <c r="I13" s="632" t="s">
        <v>87</v>
      </c>
    </row>
    <row r="14" spans="1:9" s="628" customFormat="1">
      <c r="A14" s="813" t="s">
        <v>81</v>
      </c>
      <c r="B14" s="814"/>
      <c r="C14" s="815"/>
      <c r="D14" s="804"/>
      <c r="E14" s="804" t="s">
        <v>68</v>
      </c>
      <c r="F14" s="804">
        <f>8+6</f>
        <v>14</v>
      </c>
      <c r="G14" s="804">
        <v>2</v>
      </c>
      <c r="H14" s="804">
        <v>16</v>
      </c>
      <c r="I14" s="805">
        <f t="shared" ref="I14" si="0">SUM(D14:H14)</f>
        <v>32</v>
      </c>
    </row>
    <row r="15" spans="1:9" s="628" customFormat="1">
      <c r="A15" s="548" t="s">
        <v>75</v>
      </c>
      <c r="B15" s="630"/>
      <c r="C15" s="546"/>
      <c r="D15" s="548">
        <f t="shared" ref="D15:I15" si="1">SUM(D14:D14)</f>
        <v>0</v>
      </c>
      <c r="E15" s="548">
        <f t="shared" si="1"/>
        <v>0</v>
      </c>
      <c r="F15" s="548">
        <f t="shared" si="1"/>
        <v>14</v>
      </c>
      <c r="G15" s="548">
        <f t="shared" si="1"/>
        <v>2</v>
      </c>
      <c r="H15" s="548">
        <f t="shared" si="1"/>
        <v>16</v>
      </c>
      <c r="I15" s="548">
        <f t="shared" si="1"/>
        <v>32</v>
      </c>
    </row>
    <row r="16" spans="1:9" s="628" customFormat="1"/>
    <row r="17" spans="1:9" s="628" customFormat="1">
      <c r="A17" s="517"/>
      <c r="C17" s="517"/>
      <c r="D17" s="517"/>
      <c r="E17" s="517"/>
      <c r="F17" s="517"/>
    </row>
    <row r="18" spans="1:9" s="628" customFormat="1">
      <c r="A18" s="517"/>
      <c r="B18" s="517"/>
      <c r="C18" s="517"/>
      <c r="D18" s="517"/>
      <c r="E18" s="517"/>
      <c r="F18" s="517"/>
    </row>
    <row r="19" spans="1:9" s="517" customFormat="1" ht="126" customHeight="1">
      <c r="A19" s="809"/>
      <c r="B19" s="809"/>
      <c r="C19" s="809"/>
      <c r="D19" s="809"/>
      <c r="E19" s="809"/>
      <c r="F19" s="809"/>
      <c r="G19" s="809"/>
      <c r="H19" s="809"/>
      <c r="I19" s="637"/>
    </row>
    <row r="20" spans="1:9" s="628" customFormat="1">
      <c r="A20" s="638"/>
      <c r="B20" s="638"/>
      <c r="C20" s="638"/>
      <c r="D20" s="638"/>
      <c r="E20" s="638"/>
      <c r="F20" s="638"/>
      <c r="G20" s="639"/>
      <c r="H20" s="639"/>
    </row>
    <row r="21" spans="1:9" s="628" customFormat="1">
      <c r="A21" s="517"/>
      <c r="B21" s="517"/>
      <c r="C21" s="517"/>
      <c r="D21" s="517"/>
      <c r="E21" s="517"/>
      <c r="F21" s="517"/>
    </row>
    <row r="22" spans="1:9" s="628" customFormat="1">
      <c r="A22" s="517"/>
      <c r="B22" s="517"/>
      <c r="C22" s="517"/>
      <c r="D22" s="517"/>
      <c r="E22" s="517"/>
      <c r="F22" s="517"/>
    </row>
    <row r="23" spans="1:9" s="628" customFormat="1">
      <c r="A23" s="517"/>
      <c r="B23" s="517"/>
      <c r="C23" s="517"/>
      <c r="D23" s="517"/>
      <c r="E23" s="517"/>
      <c r="F23" s="517"/>
    </row>
    <row r="24" spans="1:9" s="628" customFormat="1">
      <c r="A24" s="517"/>
      <c r="B24" s="517"/>
      <c r="C24" s="517"/>
      <c r="D24" s="517"/>
      <c r="E24" s="517"/>
      <c r="F24" s="517"/>
    </row>
    <row r="25" spans="1:9" s="628" customFormat="1">
      <c r="A25" s="517"/>
      <c r="B25" s="517"/>
      <c r="C25" s="517"/>
      <c r="D25" s="517"/>
      <c r="E25" s="517"/>
      <c r="F25" s="517"/>
    </row>
    <row r="26" spans="1:9" s="628" customFormat="1">
      <c r="A26" s="517"/>
      <c r="B26" s="517"/>
      <c r="C26" s="517"/>
      <c r="D26" s="517"/>
      <c r="E26" s="517"/>
      <c r="F26" s="517"/>
    </row>
    <row r="27" spans="1:9" s="628" customFormat="1">
      <c r="A27" s="517"/>
      <c r="B27" s="517"/>
      <c r="C27" s="517"/>
      <c r="D27" s="517"/>
      <c r="E27" s="517"/>
      <c r="F27" s="517"/>
    </row>
    <row r="28" spans="1:9" s="628" customFormat="1">
      <c r="A28" s="517"/>
      <c r="B28" s="517"/>
      <c r="C28" s="517"/>
      <c r="D28" s="517"/>
      <c r="E28" s="517"/>
      <c r="F28" s="517"/>
    </row>
    <row r="29" spans="1:9" s="628" customFormat="1">
      <c r="A29" s="517"/>
      <c r="B29" s="517"/>
      <c r="C29" s="517"/>
      <c r="D29" s="517"/>
      <c r="E29" s="517"/>
      <c r="F29" s="517"/>
    </row>
    <row r="30" spans="1:9" s="628" customFormat="1">
      <c r="A30" s="517"/>
      <c r="B30" s="517"/>
      <c r="C30" s="517"/>
      <c r="D30" s="517"/>
      <c r="E30" s="517"/>
      <c r="F30" s="517"/>
    </row>
    <row r="31" spans="1:9" s="628" customFormat="1">
      <c r="A31" s="517"/>
      <c r="B31" s="517"/>
      <c r="C31" s="517"/>
      <c r="D31" s="517"/>
      <c r="E31" s="517"/>
      <c r="F31" s="517"/>
    </row>
    <row r="32" spans="1:9" s="628" customFormat="1">
      <c r="A32" s="517"/>
      <c r="B32" s="517"/>
      <c r="C32" s="517"/>
      <c r="D32" s="517"/>
      <c r="E32" s="517"/>
      <c r="F32" s="517"/>
    </row>
    <row r="33" spans="1:6" s="628" customFormat="1">
      <c r="A33" s="517"/>
      <c r="B33" s="517"/>
      <c r="C33" s="517"/>
      <c r="D33" s="517"/>
      <c r="E33" s="517"/>
      <c r="F33" s="517"/>
    </row>
    <row r="34" spans="1:6" s="628" customFormat="1">
      <c r="A34" s="517"/>
      <c r="B34" s="517"/>
      <c r="C34" s="517"/>
      <c r="D34" s="517"/>
      <c r="E34" s="517"/>
      <c r="F34" s="517"/>
    </row>
    <row r="35" spans="1:6" s="628" customFormat="1">
      <c r="A35" s="517"/>
      <c r="B35" s="517"/>
      <c r="C35" s="517"/>
      <c r="D35" s="517"/>
      <c r="E35" s="517"/>
      <c r="F35" s="517"/>
    </row>
  </sheetData>
  <mergeCells count="4">
    <mergeCell ref="A14:C14"/>
    <mergeCell ref="A19:H19"/>
    <mergeCell ref="B2:I2"/>
    <mergeCell ref="C1:I1"/>
  </mergeCells>
  <pageMargins left="0.43307086614173201" right="0.31496062992126" top="0.23" bottom="0.37" header="0.196850393700787" footer="0.25"/>
  <pageSetup scale="66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25"/>
  <sheetViews>
    <sheetView topLeftCell="A7" zoomScaleNormal="100" workbookViewId="0">
      <selection activeCell="G15" sqref="G15"/>
    </sheetView>
  </sheetViews>
  <sheetFormatPr defaultColWidth="9.140625" defaultRowHeight="13.5"/>
  <cols>
    <col min="1" max="1" width="5.85546875" style="545" customWidth="1"/>
    <col min="2" max="2" width="33.28515625" style="545" customWidth="1"/>
    <col min="3" max="3" width="15.5703125" style="545" customWidth="1"/>
    <col min="4" max="4" width="10.140625" style="545" bestFit="1" customWidth="1"/>
    <col min="5" max="5" width="12" style="545" customWidth="1"/>
    <col min="6" max="7" width="10.5703125" style="545" customWidth="1"/>
    <col min="8" max="8" width="12.42578125" style="545" customWidth="1"/>
    <col min="9" max="9" width="9.28515625" style="545" bestFit="1" customWidth="1"/>
    <col min="10" max="10" width="10.28515625" style="545" customWidth="1"/>
    <col min="11" max="16384" width="9.140625" style="545"/>
  </cols>
  <sheetData>
    <row r="1" spans="1:14" s="506" customFormat="1" ht="18" thickBot="1">
      <c r="B1" s="507" t="s">
        <v>141</v>
      </c>
      <c r="C1" s="508" t="s">
        <v>151</v>
      </c>
      <c r="D1" s="509"/>
      <c r="E1" s="509"/>
      <c r="F1" s="510"/>
      <c r="G1" s="511"/>
    </row>
    <row r="2" spans="1:14" s="585" customFormat="1" ht="31.5" customHeight="1">
      <c r="A2" s="512"/>
      <c r="B2" s="816" t="s">
        <v>150</v>
      </c>
      <c r="C2" s="816"/>
      <c r="D2" s="816"/>
      <c r="E2" s="816"/>
      <c r="F2" s="816"/>
      <c r="G2" s="816"/>
      <c r="H2" s="816"/>
      <c r="I2" s="816"/>
    </row>
    <row r="3" spans="1:14" s="517" customFormat="1" ht="12" customHeight="1">
      <c r="A3" s="516"/>
    </row>
    <row r="4" spans="1:14" s="517" customFormat="1" ht="148.5">
      <c r="A4" s="518" t="s">
        <v>63</v>
      </c>
      <c r="B4" s="519" t="s">
        <v>89</v>
      </c>
      <c r="C4" s="520" t="s">
        <v>90</v>
      </c>
      <c r="D4" s="520" t="s">
        <v>142</v>
      </c>
      <c r="E4" s="520" t="s">
        <v>92</v>
      </c>
      <c r="F4" s="520" t="s">
        <v>93</v>
      </c>
      <c r="G4" s="520" t="s">
        <v>114</v>
      </c>
      <c r="H4" s="520" t="s">
        <v>165</v>
      </c>
      <c r="I4" s="520" t="s">
        <v>166</v>
      </c>
    </row>
    <row r="5" spans="1:14" s="517" customFormat="1" ht="17.25">
      <c r="A5" s="535">
        <v>1</v>
      </c>
      <c r="B5" s="536">
        <v>2</v>
      </c>
      <c r="C5" s="536">
        <v>4</v>
      </c>
      <c r="D5" s="535">
        <v>5</v>
      </c>
      <c r="E5" s="536">
        <v>6</v>
      </c>
      <c r="F5" s="535">
        <v>7</v>
      </c>
      <c r="G5" s="536">
        <v>8</v>
      </c>
      <c r="H5" s="535">
        <v>9</v>
      </c>
      <c r="I5" s="535">
        <v>11</v>
      </c>
    </row>
    <row r="6" spans="1:14" s="641" customFormat="1" ht="17.25">
      <c r="A6" s="537">
        <v>1</v>
      </c>
      <c r="B6" s="519" t="s">
        <v>168</v>
      </c>
      <c r="C6" s="538">
        <v>663</v>
      </c>
      <c r="D6" s="524">
        <f>H15</f>
        <v>180</v>
      </c>
      <c r="E6" s="521">
        <v>252</v>
      </c>
      <c r="F6" s="521">
        <v>200.47</v>
      </c>
      <c r="G6" s="521">
        <f>30/1000</f>
        <v>0.03</v>
      </c>
      <c r="H6" s="538">
        <f>(D6+C6/0.8)*E6*F6*G6</f>
        <v>1528814.2904999999</v>
      </c>
      <c r="I6" s="769">
        <f>H6/1000</f>
        <v>1528.8142905</v>
      </c>
    </row>
    <row r="7" spans="1:14" s="517" customFormat="1" ht="17.25">
      <c r="A7" s="521"/>
      <c r="B7" s="523"/>
      <c r="C7" s="539"/>
      <c r="D7" s="522"/>
      <c r="E7" s="540"/>
      <c r="F7" s="521"/>
      <c r="G7" s="521"/>
      <c r="H7" s="538"/>
      <c r="I7" s="769"/>
    </row>
    <row r="8" spans="1:14" s="517" customFormat="1" ht="17.25">
      <c r="A8" s="521"/>
      <c r="B8" s="523"/>
      <c r="C8" s="539"/>
      <c r="D8" s="522"/>
      <c r="E8" s="226"/>
      <c r="F8" s="521"/>
      <c r="G8" s="521"/>
      <c r="H8" s="538"/>
      <c r="I8" s="769"/>
    </row>
    <row r="9" spans="1:14" s="517" customFormat="1" ht="20.25" customHeight="1">
      <c r="A9" s="521"/>
      <c r="B9" s="522" t="s">
        <v>75</v>
      </c>
      <c r="C9" s="538">
        <f>SUM(C6:C8)</f>
        <v>663</v>
      </c>
      <c r="D9" s="226">
        <f>SUM(D6:D8)</f>
        <v>180</v>
      </c>
      <c r="E9" s="522" t="s">
        <v>7</v>
      </c>
      <c r="F9" s="522" t="s">
        <v>7</v>
      </c>
      <c r="G9" s="522" t="s">
        <v>7</v>
      </c>
      <c r="H9" s="769">
        <f>SUM(H6:H8)</f>
        <v>1528814.2904999999</v>
      </c>
      <c r="I9" s="770">
        <f>SUM(I6:I8)</f>
        <v>1528.8142905</v>
      </c>
    </row>
    <row r="10" spans="1:14" s="517" customFormat="1" ht="20.25" customHeight="1">
      <c r="A10" s="541"/>
      <c r="B10" s="542"/>
      <c r="C10" s="541"/>
      <c r="D10" s="543"/>
      <c r="E10" s="542"/>
      <c r="F10" s="542"/>
      <c r="G10" s="542"/>
      <c r="H10" s="544"/>
    </row>
    <row r="11" spans="1:14" s="517" customFormat="1" ht="17.25">
      <c r="A11" s="541"/>
      <c r="B11" s="491"/>
      <c r="C11" s="491"/>
      <c r="D11" s="491"/>
      <c r="E11" s="491"/>
      <c r="F11" s="491"/>
      <c r="G11" s="491"/>
      <c r="H11" s="491"/>
      <c r="M11" s="491"/>
      <c r="N11" s="491"/>
    </row>
    <row r="12" spans="1:14">
      <c r="B12" s="491" t="s">
        <v>82</v>
      </c>
      <c r="C12" s="491"/>
      <c r="D12" s="491"/>
      <c r="E12" s="491"/>
      <c r="F12" s="491"/>
      <c r="G12" s="491"/>
      <c r="H12" s="491"/>
      <c r="M12" s="491"/>
      <c r="N12" s="491"/>
    </row>
    <row r="13" spans="1:14" ht="29.25" customHeight="1">
      <c r="B13" s="818" t="s">
        <v>79</v>
      </c>
      <c r="C13" s="819"/>
      <c r="D13" s="546" t="s">
        <v>83</v>
      </c>
      <c r="E13" s="547" t="s">
        <v>84</v>
      </c>
      <c r="F13" s="547" t="s">
        <v>85</v>
      </c>
      <c r="G13" s="547" t="s">
        <v>86</v>
      </c>
      <c r="H13" s="547" t="s">
        <v>87</v>
      </c>
      <c r="M13" s="491"/>
      <c r="N13" s="491"/>
    </row>
    <row r="14" spans="1:14" ht="14.25">
      <c r="B14" s="626" t="s">
        <v>47</v>
      </c>
      <c r="C14" s="546"/>
      <c r="D14" s="806">
        <v>28</v>
      </c>
      <c r="E14" s="804">
        <v>105</v>
      </c>
      <c r="F14" s="804">
        <v>29</v>
      </c>
      <c r="G14" s="804">
        <v>18</v>
      </c>
      <c r="H14" s="805">
        <f>SUM(D14:G14)</f>
        <v>180</v>
      </c>
      <c r="M14" s="491"/>
      <c r="N14" s="491"/>
    </row>
    <row r="15" spans="1:14" ht="14.25">
      <c r="B15" s="549" t="s">
        <v>75</v>
      </c>
      <c r="C15" s="546"/>
      <c r="D15" s="550">
        <f>+D14</f>
        <v>28</v>
      </c>
      <c r="E15" s="550">
        <f t="shared" ref="E15:H15" si="0">+E14</f>
        <v>105</v>
      </c>
      <c r="F15" s="550">
        <f t="shared" si="0"/>
        <v>29</v>
      </c>
      <c r="G15" s="550">
        <f t="shared" si="0"/>
        <v>18</v>
      </c>
      <c r="H15" s="550">
        <f t="shared" si="0"/>
        <v>180</v>
      </c>
      <c r="M15" s="491"/>
      <c r="N15" s="491"/>
    </row>
    <row r="19" spans="1:10" ht="24.75" customHeight="1">
      <c r="B19" s="633" t="s">
        <v>149</v>
      </c>
      <c r="C19" s="633"/>
      <c r="D19" s="633"/>
      <c r="E19" s="633"/>
      <c r="F19" s="633"/>
      <c r="G19" s="634"/>
      <c r="H19" s="634"/>
    </row>
    <row r="20" spans="1:10" ht="14.25">
      <c r="B20" s="642"/>
      <c r="C20" s="642"/>
      <c r="D20" s="642"/>
      <c r="E20" s="642"/>
      <c r="F20" s="642"/>
      <c r="G20" s="642"/>
      <c r="H20" s="642"/>
    </row>
    <row r="21" spans="1:10" ht="57">
      <c r="A21" s="635" t="s">
        <v>63</v>
      </c>
      <c r="B21" s="643" t="s">
        <v>96</v>
      </c>
      <c r="C21" s="580" t="s">
        <v>97</v>
      </c>
      <c r="D21" s="580" t="s">
        <v>98</v>
      </c>
      <c r="E21" s="580" t="s">
        <v>99</v>
      </c>
      <c r="F21" s="580" t="s">
        <v>100</v>
      </c>
      <c r="G21" s="580" t="s">
        <v>101</v>
      </c>
      <c r="J21" s="644"/>
    </row>
    <row r="22" spans="1:10" ht="82.5">
      <c r="A22" s="635">
        <v>1</v>
      </c>
      <c r="B22" s="654" t="s">
        <v>231</v>
      </c>
      <c r="C22" s="521" t="s">
        <v>94</v>
      </c>
      <c r="D22" s="524">
        <v>400</v>
      </c>
      <c r="E22" s="521">
        <v>20</v>
      </c>
      <c r="F22" s="521">
        <v>12</v>
      </c>
      <c r="G22" s="645">
        <f>D22*E22*F22/1000</f>
        <v>96</v>
      </c>
      <c r="J22" s="644"/>
    </row>
    <row r="23" spans="1:10">
      <c r="A23" s="579"/>
      <c r="B23" s="646" t="s">
        <v>75</v>
      </c>
      <c r="C23" s="521"/>
      <c r="D23" s="524"/>
      <c r="E23" s="521"/>
      <c r="F23" s="521"/>
      <c r="G23" s="645">
        <f>SUM(G22:G22)</f>
        <v>96</v>
      </c>
      <c r="H23" s="647"/>
      <c r="J23" s="648"/>
    </row>
    <row r="24" spans="1:10" ht="14.25">
      <c r="B24" s="649"/>
      <c r="C24" s="650"/>
      <c r="D24" s="650"/>
      <c r="E24" s="650"/>
      <c r="F24" s="651"/>
      <c r="G24" s="651"/>
      <c r="H24" s="652"/>
    </row>
    <row r="25" spans="1:10" ht="17.25">
      <c r="G25" s="653"/>
    </row>
  </sheetData>
  <mergeCells count="2">
    <mergeCell ref="B13:C13"/>
    <mergeCell ref="B2:I2"/>
  </mergeCells>
  <pageMargins left="0.2" right="0.2" top="0.79" bottom="1" header="0.5" footer="0.5"/>
  <pageSetup scale="87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I20"/>
  <sheetViews>
    <sheetView topLeftCell="A12" zoomScaleNormal="100" workbookViewId="0">
      <selection activeCell="G33" sqref="G33"/>
    </sheetView>
  </sheetViews>
  <sheetFormatPr defaultColWidth="9.140625" defaultRowHeight="13.5"/>
  <cols>
    <col min="1" max="1" width="5.42578125" style="227" customWidth="1"/>
    <col min="2" max="2" width="35.5703125" style="227" customWidth="1"/>
    <col min="3" max="3" width="11.140625" style="227" customWidth="1"/>
    <col min="4" max="4" width="11.28515625" style="227" customWidth="1"/>
    <col min="5" max="5" width="12" style="227" customWidth="1"/>
    <col min="6" max="6" width="10.42578125" style="227" bestFit="1" customWidth="1"/>
    <col min="7" max="7" width="11" style="227" customWidth="1"/>
    <col min="8" max="8" width="9.85546875" style="227" customWidth="1"/>
    <col min="9" max="16384" width="9.140625" style="227"/>
  </cols>
  <sheetData>
    <row r="1" spans="1:9" ht="24.75" hidden="1" customHeight="1">
      <c r="B1" s="821" t="s">
        <v>18</v>
      </c>
      <c r="C1" s="821"/>
      <c r="D1" s="821"/>
      <c r="E1" s="821"/>
      <c r="F1" s="821"/>
      <c r="G1" s="821"/>
      <c r="H1" s="655"/>
    </row>
    <row r="2" spans="1:9" hidden="1"/>
    <row r="3" spans="1:9" ht="110.25" hidden="1" customHeight="1">
      <c r="A3" s="656"/>
      <c r="B3" s="657" t="s">
        <v>1</v>
      </c>
      <c r="C3" s="658" t="s">
        <v>2</v>
      </c>
      <c r="D3" s="658" t="s">
        <v>3</v>
      </c>
      <c r="E3" s="658" t="s">
        <v>4</v>
      </c>
      <c r="F3" s="658" t="s">
        <v>19</v>
      </c>
      <c r="G3" s="658" t="s">
        <v>20</v>
      </c>
      <c r="H3" s="659"/>
    </row>
    <row r="4" spans="1:9" hidden="1">
      <c r="A4" s="660">
        <v>1</v>
      </c>
      <c r="B4" s="661">
        <v>2</v>
      </c>
      <c r="C4" s="661">
        <v>4</v>
      </c>
      <c r="D4" s="661">
        <v>6</v>
      </c>
      <c r="E4" s="660">
        <v>7</v>
      </c>
      <c r="F4" s="661">
        <v>8</v>
      </c>
      <c r="G4" s="660">
        <v>9</v>
      </c>
    </row>
    <row r="5" spans="1:9" hidden="1">
      <c r="A5" s="660"/>
      <c r="B5" s="661"/>
      <c r="C5" s="661"/>
      <c r="D5" s="661"/>
      <c r="E5" s="660"/>
      <c r="F5" s="662"/>
      <c r="G5" s="663"/>
    </row>
    <row r="6" spans="1:9" hidden="1">
      <c r="A6" s="664">
        <v>1</v>
      </c>
      <c r="B6" s="345" t="s">
        <v>21</v>
      </c>
      <c r="C6" s="665">
        <v>440.4</v>
      </c>
      <c r="D6" s="666">
        <f>366-118</f>
        <v>248</v>
      </c>
      <c r="E6" s="220">
        <v>181</v>
      </c>
      <c r="F6" s="667">
        <f>30/1000</f>
        <v>0.03</v>
      </c>
      <c r="G6" s="663"/>
    </row>
    <row r="7" spans="1:9" hidden="1">
      <c r="A7" s="664">
        <v>2</v>
      </c>
      <c r="B7" s="345"/>
      <c r="C7" s="665"/>
      <c r="D7" s="668"/>
      <c r="E7" s="239"/>
      <c r="F7" s="239"/>
      <c r="G7" s="669"/>
    </row>
    <row r="8" spans="1:9" hidden="1">
      <c r="A8" s="664">
        <v>3</v>
      </c>
      <c r="B8" s="345"/>
      <c r="C8" s="665"/>
      <c r="D8" s="668"/>
      <c r="E8" s="239"/>
      <c r="F8" s="239"/>
      <c r="G8" s="669"/>
    </row>
    <row r="9" spans="1:9" ht="16.5" hidden="1">
      <c r="A9" s="660"/>
      <c r="B9" s="670" t="s">
        <v>6</v>
      </c>
      <c r="C9" s="671">
        <f>SUM(C6:C8)</f>
        <v>440.4</v>
      </c>
      <c r="D9" s="672" t="s">
        <v>7</v>
      </c>
      <c r="E9" s="672" t="s">
        <v>7</v>
      </c>
      <c r="F9" s="672" t="s">
        <v>7</v>
      </c>
      <c r="G9" s="673">
        <f>SUM(G6:G8)/1000</f>
        <v>0</v>
      </c>
    </row>
    <row r="10" spans="1:9" ht="10.5" hidden="1" customHeight="1"/>
    <row r="11" spans="1:9" ht="10.5" hidden="1" customHeight="1"/>
    <row r="12" spans="1:9" s="204" customFormat="1" ht="18" thickBot="1">
      <c r="B12" s="205" t="s">
        <v>141</v>
      </c>
      <c r="C12" s="206" t="s">
        <v>88</v>
      </c>
      <c r="D12" s="207"/>
      <c r="E12" s="208"/>
      <c r="F12" s="209"/>
    </row>
    <row r="13" spans="1:9" ht="15" customHeight="1">
      <c r="B13" s="820" t="s">
        <v>149</v>
      </c>
      <c r="C13" s="820"/>
      <c r="D13" s="820"/>
      <c r="E13" s="820"/>
      <c r="F13" s="820"/>
      <c r="G13" s="820"/>
    </row>
    <row r="14" spans="1:9">
      <c r="B14" s="247"/>
      <c r="C14" s="247"/>
      <c r="D14" s="247"/>
      <c r="E14" s="247"/>
      <c r="F14" s="247"/>
      <c r="G14" s="247"/>
    </row>
    <row r="15" spans="1:9" s="674" customFormat="1" ht="35.450000000000003" customHeight="1">
      <c r="A15" s="635" t="s">
        <v>63</v>
      </c>
      <c r="B15" s="643" t="s">
        <v>96</v>
      </c>
      <c r="C15" s="580" t="s">
        <v>97</v>
      </c>
      <c r="D15" s="580" t="s">
        <v>98</v>
      </c>
      <c r="E15" s="580" t="s">
        <v>99</v>
      </c>
      <c r="F15" s="580" t="s">
        <v>100</v>
      </c>
      <c r="G15" s="580" t="s">
        <v>101</v>
      </c>
      <c r="I15" s="675"/>
    </row>
    <row r="16" spans="1:9" ht="92.25" customHeight="1">
      <c r="A16" s="676">
        <v>1</v>
      </c>
      <c r="B16" s="654" t="s">
        <v>231</v>
      </c>
      <c r="C16" s="251" t="s">
        <v>94</v>
      </c>
      <c r="D16" s="251">
        <v>100</v>
      </c>
      <c r="E16" s="251">
        <v>20</v>
      </c>
      <c r="F16" s="251">
        <v>12</v>
      </c>
      <c r="G16" s="677">
        <f>IF(D16&gt;0,D16*E16*F16/1000,E16*F16/1000)</f>
        <v>24</v>
      </c>
    </row>
    <row r="17" spans="1:7" s="392" customFormat="1" ht="13.5" customHeight="1">
      <c r="A17" s="373"/>
      <c r="B17" s="646" t="s">
        <v>75</v>
      </c>
      <c r="C17" s="678"/>
      <c r="D17" s="678"/>
      <c r="E17" s="678"/>
      <c r="F17" s="678"/>
      <c r="G17" s="679">
        <f>SUM(G16:G16)</f>
        <v>24</v>
      </c>
    </row>
    <row r="18" spans="1:7" ht="13.5" customHeight="1"/>
    <row r="20" spans="1:7">
      <c r="B20" s="680"/>
    </row>
  </sheetData>
  <mergeCells count="2">
    <mergeCell ref="B13:G13"/>
    <mergeCell ref="B1:G1"/>
  </mergeCells>
  <pageMargins left="0.70866141732283505" right="0.45" top="0.74803149606299202" bottom="0.74803149606299202" header="0.31496062992126" footer="0.31496062992126"/>
  <pageSetup paperSize="9" scale="90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30"/>
  <sheetViews>
    <sheetView topLeftCell="A4" zoomScaleNormal="100" workbookViewId="0">
      <selection activeCell="D17" sqref="D17:E17"/>
    </sheetView>
  </sheetViews>
  <sheetFormatPr defaultColWidth="9.140625" defaultRowHeight="13.5"/>
  <cols>
    <col min="1" max="1" width="3.7109375" style="545" customWidth="1"/>
    <col min="2" max="2" width="41.85546875" style="545" customWidth="1"/>
    <col min="3" max="3" width="9.140625" style="545"/>
    <col min="4" max="4" width="10.28515625" style="545" customWidth="1"/>
    <col min="5" max="5" width="11" style="545" customWidth="1"/>
    <col min="6" max="6" width="9.140625" style="545"/>
    <col min="7" max="7" width="13" style="545" customWidth="1"/>
    <col min="8" max="8" width="13.28515625" style="545" customWidth="1"/>
    <col min="9" max="9" width="16.140625" style="545" customWidth="1"/>
    <col min="10" max="13" width="9.140625" style="545"/>
    <col min="14" max="14" width="13" style="545" customWidth="1"/>
    <col min="15" max="16384" width="9.140625" style="545"/>
  </cols>
  <sheetData>
    <row r="1" spans="1:14" s="506" customFormat="1" ht="18" thickBot="1">
      <c r="B1" s="507" t="s">
        <v>141</v>
      </c>
      <c r="C1" s="508" t="s">
        <v>152</v>
      </c>
      <c r="D1" s="509"/>
      <c r="E1" s="509"/>
      <c r="F1" s="509"/>
      <c r="G1" s="511"/>
    </row>
    <row r="2" spans="1:14" s="585" customFormat="1" ht="31.5" customHeight="1">
      <c r="A2" s="512"/>
      <c r="B2" s="822" t="s">
        <v>150</v>
      </c>
      <c r="C2" s="822"/>
      <c r="D2" s="822"/>
      <c r="E2" s="822"/>
      <c r="F2" s="822"/>
      <c r="G2" s="822"/>
      <c r="H2" s="822"/>
      <c r="I2" s="822"/>
    </row>
    <row r="3" spans="1:14" ht="72.75" customHeight="1">
      <c r="A3" s="518" t="s">
        <v>63</v>
      </c>
      <c r="B3" s="519" t="s">
        <v>89</v>
      </c>
      <c r="C3" s="520" t="s">
        <v>90</v>
      </c>
      <c r="D3" s="520" t="s">
        <v>142</v>
      </c>
      <c r="E3" s="520" t="s">
        <v>92</v>
      </c>
      <c r="F3" s="520" t="s">
        <v>93</v>
      </c>
      <c r="G3" s="520" t="s">
        <v>114</v>
      </c>
      <c r="H3" s="520" t="s">
        <v>165</v>
      </c>
      <c r="I3" s="520" t="s">
        <v>166</v>
      </c>
    </row>
    <row r="4" spans="1:14">
      <c r="A4" s="551">
        <v>1</v>
      </c>
      <c r="B4" s="552">
        <v>2</v>
      </c>
      <c r="C4" s="552">
        <v>4</v>
      </c>
      <c r="D4" s="551">
        <v>5</v>
      </c>
      <c r="E4" s="552">
        <v>6</v>
      </c>
      <c r="F4" s="551">
        <v>7</v>
      </c>
      <c r="G4" s="552">
        <v>8</v>
      </c>
      <c r="H4" s="551">
        <v>9</v>
      </c>
      <c r="I4" s="551">
        <v>10</v>
      </c>
    </row>
    <row r="5" spans="1:14">
      <c r="A5" s="553">
        <v>1</v>
      </c>
      <c r="B5" s="554" t="s">
        <v>244</v>
      </c>
      <c r="C5" s="732">
        <v>200</v>
      </c>
      <c r="D5" s="522">
        <f>H15</f>
        <v>122</v>
      </c>
      <c r="E5" s="521">
        <v>252</v>
      </c>
      <c r="F5" s="521">
        <v>200.47</v>
      </c>
      <c r="G5" s="522">
        <f>30/1000</f>
        <v>0.03</v>
      </c>
      <c r="H5" s="539">
        <f>(D5+C5/0.8)*E5*F5*G5</f>
        <v>563785.79039999994</v>
      </c>
      <c r="I5" s="538">
        <f>H5/1000</f>
        <v>563.7857904</v>
      </c>
    </row>
    <row r="6" spans="1:14">
      <c r="A6" s="553">
        <v>2</v>
      </c>
      <c r="B6" s="554" t="s">
        <v>245</v>
      </c>
      <c r="C6" s="732">
        <v>492.7</v>
      </c>
      <c r="D6" s="522">
        <f>H16</f>
        <v>129</v>
      </c>
      <c r="E6" s="773">
        <v>252</v>
      </c>
      <c r="F6" s="521">
        <v>200.47</v>
      </c>
      <c r="G6" s="522">
        <f>30/1000</f>
        <v>0.03</v>
      </c>
      <c r="H6" s="539">
        <f t="shared" ref="H6:H7" si="0">(D6+C6/0.8)*E6*F6*G6</f>
        <v>1128897.68985</v>
      </c>
      <c r="I6" s="538">
        <f t="shared" ref="I6:I7" si="1">H6/1000</f>
        <v>1128.89768985</v>
      </c>
    </row>
    <row r="7" spans="1:14">
      <c r="A7" s="555">
        <v>3</v>
      </c>
      <c r="B7" s="554" t="s">
        <v>246</v>
      </c>
      <c r="C7" s="539">
        <v>435</v>
      </c>
      <c r="D7" s="522">
        <f>H17</f>
        <v>142</v>
      </c>
      <c r="E7" s="773">
        <v>252</v>
      </c>
      <c r="F7" s="521">
        <v>200.47</v>
      </c>
      <c r="G7" s="522">
        <f>30/1000</f>
        <v>0.03</v>
      </c>
      <c r="H7" s="539">
        <f t="shared" si="0"/>
        <v>1039290.6068999999</v>
      </c>
      <c r="I7" s="538">
        <f t="shared" si="1"/>
        <v>1039.2906068999998</v>
      </c>
    </row>
    <row r="8" spans="1:14" ht="14.25">
      <c r="A8" s="551"/>
      <c r="B8" s="559" t="s">
        <v>75</v>
      </c>
      <c r="C8" s="560">
        <f>SUM(C5:C7)</f>
        <v>1127.7</v>
      </c>
      <c r="D8" s="561">
        <f>SUM(D5:D7)</f>
        <v>393</v>
      </c>
      <c r="E8" s="562" t="s">
        <v>7</v>
      </c>
      <c r="F8" s="562" t="s">
        <v>7</v>
      </c>
      <c r="G8" s="562" t="s">
        <v>7</v>
      </c>
      <c r="H8" s="560">
        <f>SUM(H5:H7)</f>
        <v>2731974.08715</v>
      </c>
      <c r="I8" s="560">
        <f>SUM(I5:I7)</f>
        <v>2731.9740871499998</v>
      </c>
    </row>
    <row r="9" spans="1:14">
      <c r="A9" s="564"/>
      <c r="B9" s="564"/>
      <c r="C9" s="564"/>
      <c r="D9" s="564"/>
      <c r="E9" s="564"/>
      <c r="F9" s="564"/>
      <c r="G9" s="564"/>
      <c r="H9" s="564"/>
    </row>
    <row r="10" spans="1:14">
      <c r="A10" s="564"/>
      <c r="B10" s="564"/>
      <c r="C10" s="564"/>
      <c r="D10" s="564"/>
      <c r="E10" s="564"/>
      <c r="F10" s="564"/>
      <c r="G10" s="564"/>
      <c r="H10" s="564"/>
      <c r="I10" s="564"/>
    </row>
    <row r="11" spans="1:14">
      <c r="A11" s="564"/>
      <c r="B11" s="564"/>
      <c r="C11" s="564"/>
      <c r="D11" s="564"/>
      <c r="E11" s="564"/>
      <c r="F11" s="564"/>
      <c r="G11" s="564"/>
      <c r="H11" s="564"/>
      <c r="I11" s="564"/>
    </row>
    <row r="12" spans="1:14">
      <c r="A12" s="564"/>
      <c r="B12" s="564"/>
      <c r="C12" s="564"/>
      <c r="D12" s="564"/>
      <c r="E12" s="564"/>
      <c r="F12" s="564"/>
      <c r="G12" s="564"/>
      <c r="H12" s="564"/>
      <c r="I12" s="564"/>
    </row>
    <row r="13" spans="1:14">
      <c r="B13" s="491" t="s">
        <v>82</v>
      </c>
      <c r="C13" s="491"/>
      <c r="D13" s="491"/>
      <c r="E13" s="491"/>
      <c r="F13" s="491"/>
      <c r="G13" s="491"/>
      <c r="H13" s="491"/>
      <c r="M13" s="491"/>
      <c r="N13" s="491"/>
    </row>
    <row r="14" spans="1:14" ht="29.25" customHeight="1">
      <c r="B14" s="818" t="s">
        <v>79</v>
      </c>
      <c r="C14" s="819"/>
      <c r="D14" s="546" t="s">
        <v>83</v>
      </c>
      <c r="E14" s="547" t="s">
        <v>84</v>
      </c>
      <c r="F14" s="547" t="s">
        <v>85</v>
      </c>
      <c r="G14" s="547" t="s">
        <v>86</v>
      </c>
      <c r="H14" s="547" t="s">
        <v>75</v>
      </c>
      <c r="M14" s="491"/>
      <c r="N14" s="491"/>
    </row>
    <row r="15" spans="1:14" ht="14.25">
      <c r="B15" s="813" t="s">
        <v>206</v>
      </c>
      <c r="C15" s="815"/>
      <c r="D15" s="806">
        <v>19</v>
      </c>
      <c r="E15" s="804">
        <v>61</v>
      </c>
      <c r="F15" s="804">
        <v>14</v>
      </c>
      <c r="G15" s="804">
        <v>28</v>
      </c>
      <c r="H15" s="805">
        <f>SUM(D15:G15)</f>
        <v>122</v>
      </c>
      <c r="M15" s="491"/>
      <c r="N15" s="491"/>
    </row>
    <row r="16" spans="1:14" ht="14.25">
      <c r="B16" s="813" t="s">
        <v>207</v>
      </c>
      <c r="C16" s="815"/>
      <c r="D16" s="806">
        <v>21</v>
      </c>
      <c r="E16" s="806">
        <v>66</v>
      </c>
      <c r="F16" s="804">
        <v>21</v>
      </c>
      <c r="G16" s="804">
        <v>21</v>
      </c>
      <c r="H16" s="805">
        <f>SUM(D16:G16)</f>
        <v>129</v>
      </c>
      <c r="M16" s="491"/>
      <c r="N16" s="491"/>
    </row>
    <row r="17" spans="1:14" ht="14.25">
      <c r="B17" s="813" t="s">
        <v>208</v>
      </c>
      <c r="C17" s="815"/>
      <c r="D17" s="806">
        <v>24</v>
      </c>
      <c r="E17" s="804">
        <v>95</v>
      </c>
      <c r="F17" s="804">
        <v>23</v>
      </c>
      <c r="G17" s="804">
        <v>0</v>
      </c>
      <c r="H17" s="805">
        <f>SUM(D17:G17)</f>
        <v>142</v>
      </c>
      <c r="M17" s="491"/>
      <c r="N17" s="491"/>
    </row>
    <row r="18" spans="1:14" ht="14.25">
      <c r="B18" s="549" t="s">
        <v>75</v>
      </c>
      <c r="C18" s="546"/>
      <c r="D18" s="550">
        <f>SUM(D15:D17)</f>
        <v>64</v>
      </c>
      <c r="E18" s="550">
        <f>SUM(E15:E17)</f>
        <v>222</v>
      </c>
      <c r="F18" s="550">
        <f>SUM(F15:F17)</f>
        <v>58</v>
      </c>
      <c r="G18" s="550">
        <f>SUM(G15:G17)</f>
        <v>49</v>
      </c>
      <c r="H18" s="550">
        <f>SUM(H15:H17)</f>
        <v>393</v>
      </c>
      <c r="M18" s="491"/>
      <c r="N18" s="491"/>
    </row>
    <row r="19" spans="1:14">
      <c r="A19" s="564"/>
      <c r="B19" s="564"/>
      <c r="C19" s="564"/>
      <c r="D19" s="564"/>
      <c r="E19" s="564"/>
      <c r="F19" s="564"/>
      <c r="G19" s="564"/>
      <c r="H19" s="564"/>
      <c r="I19" s="564"/>
    </row>
    <row r="20" spans="1:14">
      <c r="A20" s="564"/>
      <c r="B20" s="564"/>
      <c r="C20" s="564"/>
      <c r="D20" s="564"/>
      <c r="E20" s="564"/>
      <c r="F20" s="564"/>
      <c r="G20" s="564"/>
      <c r="H20" s="564"/>
      <c r="I20" s="564"/>
    </row>
    <row r="21" spans="1:14">
      <c r="A21" s="564"/>
      <c r="B21" s="564"/>
      <c r="C21" s="564"/>
      <c r="D21" s="564"/>
      <c r="E21" s="564"/>
      <c r="F21" s="564"/>
      <c r="G21" s="564"/>
      <c r="H21" s="564"/>
      <c r="I21" s="564"/>
    </row>
    <row r="22" spans="1:14">
      <c r="A22" s="564"/>
      <c r="B22" s="564"/>
      <c r="C22" s="564"/>
      <c r="D22" s="564"/>
      <c r="E22" s="564"/>
      <c r="F22" s="564"/>
      <c r="G22" s="564"/>
      <c r="H22" s="564"/>
      <c r="I22" s="564"/>
    </row>
    <row r="23" spans="1:14">
      <c r="A23" s="564"/>
      <c r="B23" s="564"/>
      <c r="C23" s="564"/>
      <c r="D23" s="564"/>
      <c r="E23" s="564"/>
      <c r="F23" s="564"/>
      <c r="G23" s="564"/>
      <c r="H23" s="564"/>
      <c r="I23" s="564"/>
    </row>
    <row r="24" spans="1:14" ht="14.25">
      <c r="A24" s="564"/>
      <c r="B24" s="681" t="s">
        <v>149</v>
      </c>
      <c r="C24" s="572"/>
      <c r="D24" s="572"/>
      <c r="E24" s="572"/>
      <c r="F24" s="572"/>
      <c r="G24" s="572"/>
      <c r="H24" s="564"/>
      <c r="I24" s="564"/>
    </row>
    <row r="25" spans="1:14">
      <c r="A25" s="573"/>
      <c r="B25" s="573"/>
      <c r="C25" s="573"/>
      <c r="D25" s="573"/>
      <c r="E25" s="573"/>
      <c r="F25" s="573"/>
      <c r="G25" s="573"/>
      <c r="H25" s="564"/>
      <c r="I25" s="564"/>
    </row>
    <row r="26" spans="1:14" ht="66.75" customHeight="1">
      <c r="A26" s="518" t="s">
        <v>63</v>
      </c>
      <c r="B26" s="643" t="s">
        <v>96</v>
      </c>
      <c r="C26" s="580" t="s">
        <v>97</v>
      </c>
      <c r="D26" s="580" t="s">
        <v>98</v>
      </c>
      <c r="E26" s="580" t="s">
        <v>99</v>
      </c>
      <c r="F26" s="580" t="s">
        <v>100</v>
      </c>
      <c r="G26" s="580" t="s">
        <v>101</v>
      </c>
      <c r="I26" s="564"/>
    </row>
    <row r="27" spans="1:14">
      <c r="A27" s="682"/>
      <c r="B27" s="683"/>
      <c r="C27" s="683"/>
      <c r="D27" s="683"/>
      <c r="E27" s="683"/>
      <c r="F27" s="683"/>
      <c r="G27" s="683"/>
      <c r="I27" s="564"/>
    </row>
    <row r="28" spans="1:14" ht="76.5" customHeight="1">
      <c r="A28" s="682">
        <v>1</v>
      </c>
      <c r="B28" s="526" t="s">
        <v>231</v>
      </c>
      <c r="C28" s="615" t="s">
        <v>94</v>
      </c>
      <c r="D28" s="684">
        <v>1638</v>
      </c>
      <c r="E28" s="615">
        <v>20</v>
      </c>
      <c r="F28" s="615">
        <v>12</v>
      </c>
      <c r="G28" s="645">
        <f>IF(D28&gt;0,D28*E28*F28/1000,E28*F28/1000)</f>
        <v>393.12</v>
      </c>
      <c r="H28" s="685"/>
      <c r="I28" s="564"/>
    </row>
    <row r="29" spans="1:14" ht="13.15" hidden="1" customHeight="1">
      <c r="A29" s="682">
        <v>3</v>
      </c>
      <c r="B29" s="646" t="s">
        <v>75</v>
      </c>
      <c r="C29" s="615" t="s">
        <v>14</v>
      </c>
      <c r="D29" s="615"/>
      <c r="E29" s="615">
        <v>10000</v>
      </c>
      <c r="F29" s="615">
        <v>14</v>
      </c>
      <c r="G29" s="521"/>
      <c r="H29" s="685"/>
      <c r="I29" s="564"/>
    </row>
    <row r="30" spans="1:14" ht="14.25">
      <c r="A30" s="731"/>
      <c r="B30" s="559" t="s">
        <v>75</v>
      </c>
      <c r="C30" s="579"/>
      <c r="D30" s="579"/>
      <c r="E30" s="579"/>
      <c r="F30" s="579"/>
      <c r="G30" s="563">
        <f>SUM(G28:G29)</f>
        <v>393.12</v>
      </c>
    </row>
  </sheetData>
  <mergeCells count="5">
    <mergeCell ref="B14:C14"/>
    <mergeCell ref="B15:C15"/>
    <mergeCell ref="B16:C16"/>
    <mergeCell ref="B17:C17"/>
    <mergeCell ref="B2:I2"/>
  </mergeCells>
  <pageMargins left="0.54" right="0.3" top="0.98425196850393704" bottom="0.98425196850393704" header="0.511811023622047" footer="0.511811023622047"/>
  <pageSetup paperSize="9" scale="69" orientation="landscape" verticalDpi="0" r:id="rId1"/>
  <headerFooter alignWithMargins="0"/>
  <rowBreaks count="1" manualBreakCount="1">
    <brk id="34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J22"/>
  <sheetViews>
    <sheetView topLeftCell="A19" zoomScaleNormal="100" workbookViewId="0">
      <selection activeCell="E31" sqref="E31"/>
    </sheetView>
  </sheetViews>
  <sheetFormatPr defaultColWidth="9.140625" defaultRowHeight="13.5"/>
  <cols>
    <col min="1" max="1" width="3.85546875" style="204" customWidth="1"/>
    <col min="2" max="2" width="32.5703125" style="204" customWidth="1"/>
    <col min="3" max="3" width="7.7109375" style="204" customWidth="1"/>
    <col min="4" max="5" width="8" style="204" customWidth="1"/>
    <col min="6" max="6" width="8.5703125" style="715" customWidth="1"/>
    <col min="7" max="7" width="11.42578125" style="715" customWidth="1"/>
    <col min="8" max="8" width="10.42578125" style="715" customWidth="1"/>
    <col min="9" max="9" width="8.140625" style="715" customWidth="1"/>
    <col min="10" max="16384" width="9.140625" style="715"/>
  </cols>
  <sheetData>
    <row r="1" spans="1:10" s="204" customFormat="1" hidden="1">
      <c r="A1" s="686"/>
      <c r="B1" s="209"/>
      <c r="C1" s="209"/>
      <c r="D1" s="687"/>
      <c r="E1" s="209"/>
      <c r="F1" s="209"/>
      <c r="G1" s="823" t="s">
        <v>25</v>
      </c>
      <c r="H1" s="823"/>
    </row>
    <row r="2" spans="1:10" s="204" customFormat="1" hidden="1">
      <c r="A2" s="688"/>
      <c r="B2" s="209"/>
      <c r="C2" s="209"/>
      <c r="D2" s="687"/>
      <c r="E2" s="209"/>
      <c r="F2" s="209"/>
      <c r="G2" s="823" t="s">
        <v>26</v>
      </c>
      <c r="H2" s="823"/>
    </row>
    <row r="3" spans="1:10" s="204" customFormat="1" ht="18" hidden="1" thickBot="1">
      <c r="B3" s="689" t="s">
        <v>0</v>
      </c>
      <c r="C3" s="690" t="s">
        <v>42</v>
      </c>
      <c r="D3" s="207"/>
      <c r="E3" s="207"/>
      <c r="F3" s="257"/>
    </row>
    <row r="4" spans="1:10" s="204" customFormat="1" ht="14.25" hidden="1">
      <c r="A4" s="691"/>
      <c r="B4" s="692"/>
      <c r="C4" s="692"/>
      <c r="D4" s="208"/>
      <c r="E4" s="693"/>
      <c r="F4" s="693"/>
      <c r="G4" s="692"/>
      <c r="H4" s="694"/>
    </row>
    <row r="5" spans="1:10" s="204" customFormat="1" hidden="1">
      <c r="A5" s="691"/>
      <c r="B5" s="693" t="s">
        <v>27</v>
      </c>
      <c r="C5" s="693"/>
      <c r="D5" s="693"/>
      <c r="E5" s="693"/>
      <c r="F5" s="693"/>
      <c r="G5" s="693"/>
      <c r="H5" s="691"/>
    </row>
    <row r="6" spans="1:10" s="204" customFormat="1" ht="27" hidden="1">
      <c r="A6" s="695"/>
      <c r="B6" s="693" t="s">
        <v>28</v>
      </c>
      <c r="C6" s="693"/>
      <c r="D6" s="693"/>
      <c r="E6" s="693"/>
      <c r="F6" s="693"/>
      <c r="G6" s="695"/>
      <c r="H6" s="695"/>
    </row>
    <row r="7" spans="1:10" s="697" customFormat="1" hidden="1">
      <c r="A7" s="696"/>
      <c r="B7" s="692"/>
      <c r="C7" s="692"/>
      <c r="D7" s="692"/>
      <c r="E7" s="692"/>
      <c r="F7" s="692"/>
      <c r="G7" s="692"/>
      <c r="H7" s="696"/>
    </row>
    <row r="8" spans="1:10" s="702" customFormat="1" ht="94.5" hidden="1">
      <c r="A8" s="698"/>
      <c r="B8" s="699" t="s">
        <v>1</v>
      </c>
      <c r="C8" s="700" t="s">
        <v>29</v>
      </c>
      <c r="D8" s="700" t="s">
        <v>3</v>
      </c>
      <c r="E8" s="700" t="s">
        <v>30</v>
      </c>
      <c r="F8" s="700" t="s">
        <v>5</v>
      </c>
      <c r="G8" s="700" t="s">
        <v>31</v>
      </c>
      <c r="H8" s="269"/>
      <c r="I8" s="263"/>
      <c r="J8" s="701"/>
    </row>
    <row r="9" spans="1:10" s="702" customFormat="1" ht="27" hidden="1">
      <c r="A9" s="703">
        <v>1</v>
      </c>
      <c r="B9" s="704">
        <v>2</v>
      </c>
      <c r="C9" s="704">
        <v>4</v>
      </c>
      <c r="D9" s="704">
        <v>6</v>
      </c>
      <c r="E9" s="703">
        <v>7</v>
      </c>
      <c r="F9" s="704">
        <v>8</v>
      </c>
      <c r="G9" s="704" t="s">
        <v>32</v>
      </c>
      <c r="H9" s="269"/>
      <c r="I9" s="269"/>
      <c r="J9" s="701"/>
    </row>
    <row r="10" spans="1:10" s="702" customFormat="1" hidden="1">
      <c r="A10" s="703"/>
      <c r="B10" s="704"/>
      <c r="C10" s="704"/>
      <c r="D10" s="704"/>
      <c r="E10" s="703"/>
      <c r="F10" s="704"/>
      <c r="G10" s="705"/>
      <c r="H10" s="269"/>
      <c r="I10" s="274"/>
      <c r="J10" s="701"/>
    </row>
    <row r="11" spans="1:10" s="702" customFormat="1" hidden="1">
      <c r="A11" s="706">
        <v>1</v>
      </c>
      <c r="B11" s="707" t="s">
        <v>43</v>
      </c>
      <c r="C11" s="708">
        <v>260.39999999999998</v>
      </c>
      <c r="D11" s="666">
        <f>366-118</f>
        <v>248</v>
      </c>
      <c r="E11" s="706">
        <v>181</v>
      </c>
      <c r="F11" s="706">
        <f>30/1000</f>
        <v>0.03</v>
      </c>
      <c r="G11" s="705"/>
      <c r="H11" s="269"/>
      <c r="I11" s="274"/>
      <c r="J11" s="701"/>
    </row>
    <row r="12" spans="1:10" s="702" customFormat="1" hidden="1">
      <c r="A12" s="706">
        <v>2</v>
      </c>
      <c r="B12" s="707"/>
      <c r="C12" s="708"/>
      <c r="D12" s="709"/>
      <c r="E12" s="706"/>
      <c r="F12" s="706"/>
      <c r="G12" s="705"/>
      <c r="H12" s="269"/>
      <c r="I12" s="274"/>
      <c r="J12" s="148"/>
    </row>
    <row r="13" spans="1:10" s="712" customFormat="1" hidden="1">
      <c r="A13" s="703"/>
      <c r="B13" s="710" t="s">
        <v>6</v>
      </c>
      <c r="C13" s="703">
        <f>SUM(C11:C12)</f>
        <v>260.39999999999998</v>
      </c>
      <c r="D13" s="704" t="s">
        <v>7</v>
      </c>
      <c r="E13" s="704" t="s">
        <v>7</v>
      </c>
      <c r="F13" s="704" t="s">
        <v>7</v>
      </c>
      <c r="G13" s="711">
        <f>SUM(G11:G12)</f>
        <v>0</v>
      </c>
    </row>
    <row r="14" spans="1:10" s="712" customFormat="1" hidden="1">
      <c r="A14" s="713"/>
      <c r="B14" s="713"/>
      <c r="C14" s="713"/>
      <c r="D14" s="713"/>
      <c r="E14" s="713"/>
      <c r="F14" s="713"/>
      <c r="G14" s="713"/>
      <c r="H14" s="713"/>
    </row>
    <row r="15" spans="1:10" ht="17.25" hidden="1">
      <c r="A15" s="714"/>
      <c r="B15" s="714"/>
      <c r="C15" s="714"/>
      <c r="D15" s="714"/>
      <c r="E15" s="714"/>
      <c r="F15" s="714"/>
      <c r="G15" s="714"/>
      <c r="H15" s="714"/>
    </row>
    <row r="16" spans="1:10" s="204" customFormat="1" ht="26.25" customHeight="1" thickBot="1">
      <c r="B16" s="205" t="s">
        <v>141</v>
      </c>
      <c r="C16" s="690" t="s">
        <v>51</v>
      </c>
      <c r="D16" s="207"/>
      <c r="E16" s="207"/>
      <c r="F16" s="209"/>
    </row>
    <row r="17" spans="1:9" s="204" customFormat="1" ht="17.25">
      <c r="B17" s="689"/>
      <c r="C17" s="716"/>
      <c r="D17" s="208"/>
      <c r="E17" s="208"/>
      <c r="F17" s="209"/>
    </row>
    <row r="18" spans="1:9" s="259" customFormat="1" ht="16.5">
      <c r="A18" s="210"/>
      <c r="B18" s="824" t="s">
        <v>149</v>
      </c>
      <c r="C18" s="824"/>
      <c r="D18" s="824"/>
      <c r="E18" s="824"/>
      <c r="F18" s="824"/>
      <c r="G18" s="824"/>
      <c r="H18" s="212"/>
    </row>
    <row r="19" spans="1:9" s="259" customFormat="1" ht="16.5">
      <c r="A19" s="210"/>
      <c r="B19" s="717"/>
      <c r="C19" s="211"/>
      <c r="D19" s="211"/>
      <c r="E19" s="211"/>
      <c r="F19" s="211"/>
      <c r="G19" s="211"/>
      <c r="H19" s="212"/>
    </row>
    <row r="20" spans="1:9" s="674" customFormat="1" ht="71.25">
      <c r="A20" s="635" t="s">
        <v>63</v>
      </c>
      <c r="B20" s="643" t="s">
        <v>96</v>
      </c>
      <c r="C20" s="580" t="s">
        <v>97</v>
      </c>
      <c r="D20" s="580" t="s">
        <v>98</v>
      </c>
      <c r="E20" s="580" t="s">
        <v>99</v>
      </c>
      <c r="F20" s="580" t="s">
        <v>100</v>
      </c>
      <c r="G20" s="580" t="s">
        <v>101</v>
      </c>
      <c r="I20" s="675"/>
    </row>
    <row r="21" spans="1:9" s="721" customFormat="1" ht="82.5">
      <c r="A21" s="676">
        <v>1</v>
      </c>
      <c r="B21" s="654" t="s">
        <v>231</v>
      </c>
      <c r="C21" s="718" t="s">
        <v>94</v>
      </c>
      <c r="D21" s="676">
        <v>1200</v>
      </c>
      <c r="E21" s="719">
        <v>20</v>
      </c>
      <c r="F21" s="719">
        <v>12</v>
      </c>
      <c r="G21" s="720">
        <f>D21*E21*F21/1000</f>
        <v>288</v>
      </c>
    </row>
    <row r="22" spans="1:9" s="727" customFormat="1" ht="14.25">
      <c r="A22" s="722"/>
      <c r="B22" s="723" t="s">
        <v>75</v>
      </c>
      <c r="C22" s="724"/>
      <c r="D22" s="725"/>
      <c r="E22" s="725"/>
      <c r="F22" s="725"/>
      <c r="G22" s="726">
        <f>SUM(G21:G21)</f>
        <v>288</v>
      </c>
      <c r="H22" s="721"/>
    </row>
  </sheetData>
  <mergeCells count="3">
    <mergeCell ref="G1:H1"/>
    <mergeCell ref="G2:H2"/>
    <mergeCell ref="B18:G18"/>
  </mergeCells>
  <pageMargins left="0.59055118110236204" right="0.2" top="0.59055118110236204" bottom="0.59055118110236204" header="0.31496062992126" footer="0.31496062992126"/>
  <pageSetup paperSize="9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6"/>
  <sheetViews>
    <sheetView workbookViewId="0">
      <selection activeCell="A12" sqref="A12:G16"/>
    </sheetView>
  </sheetViews>
  <sheetFormatPr defaultColWidth="9.140625" defaultRowHeight="12.75"/>
  <cols>
    <col min="1" max="1" width="5.42578125" style="9" customWidth="1"/>
    <col min="2" max="2" width="34.140625" style="9" customWidth="1"/>
    <col min="3" max="3" width="18.28515625" style="9" customWidth="1"/>
    <col min="4" max="4" width="11.85546875" style="9" customWidth="1"/>
    <col min="5" max="5" width="13.28515625" style="9" customWidth="1"/>
    <col min="6" max="6" width="11.5703125" style="9" customWidth="1"/>
    <col min="7" max="7" width="14.5703125" style="24" customWidth="1"/>
    <col min="8" max="8" width="13.28515625" style="24" customWidth="1"/>
    <col min="9" max="9" width="14.85546875" style="24" customWidth="1"/>
    <col min="10" max="10" width="5.28515625" style="24" customWidth="1"/>
    <col min="11" max="12" width="9.140625" style="24"/>
    <col min="13" max="13" width="10.5703125" style="24" bestFit="1" customWidth="1"/>
    <col min="14" max="16384" width="9.140625" style="24"/>
  </cols>
  <sheetData>
    <row r="1" spans="1:12" s="84" customFormat="1" ht="15.75" thickBot="1">
      <c r="B1" s="178" t="s">
        <v>141</v>
      </c>
      <c r="C1" s="156" t="s">
        <v>153</v>
      </c>
      <c r="D1" s="88"/>
      <c r="E1" s="88"/>
      <c r="F1" s="92"/>
      <c r="G1" s="86"/>
    </row>
    <row r="2" spans="1:12" s="2" customFormat="1" ht="31.5" customHeight="1">
      <c r="A2" s="1"/>
      <c r="B2" s="177" t="s">
        <v>150</v>
      </c>
      <c r="C2" s="176"/>
      <c r="D2" s="176"/>
      <c r="E2" s="176"/>
      <c r="F2" s="176"/>
      <c r="G2" s="176"/>
      <c r="H2" s="176"/>
      <c r="I2" s="175"/>
    </row>
    <row r="3" spans="1:12" s="4" customFormat="1" ht="12" customHeight="1">
      <c r="A3" s="3"/>
    </row>
    <row r="4" spans="1:12" ht="92.25" customHeight="1">
      <c r="A4" s="30"/>
      <c r="B4" s="31" t="s">
        <v>1</v>
      </c>
      <c r="C4" s="32" t="s">
        <v>2</v>
      </c>
      <c r="D4" s="32" t="s">
        <v>16</v>
      </c>
      <c r="E4" s="32" t="s">
        <v>3</v>
      </c>
      <c r="F4" s="32" t="s">
        <v>4</v>
      </c>
      <c r="G4" s="11" t="s">
        <v>19</v>
      </c>
      <c r="H4" s="11" t="s">
        <v>20</v>
      </c>
      <c r="I4" s="29"/>
    </row>
    <row r="5" spans="1:12">
      <c r="A5" s="20">
        <v>1</v>
      </c>
      <c r="B5" s="33">
        <v>2</v>
      </c>
      <c r="C5" s="33">
        <v>4</v>
      </c>
      <c r="D5" s="20">
        <v>5</v>
      </c>
      <c r="E5" s="33">
        <v>6</v>
      </c>
      <c r="F5" s="20">
        <v>7</v>
      </c>
      <c r="G5" s="13">
        <v>8</v>
      </c>
      <c r="H5" s="12">
        <v>9</v>
      </c>
      <c r="I5" s="29"/>
    </row>
    <row r="6" spans="1:12">
      <c r="A6" s="20"/>
      <c r="B6" s="33"/>
      <c r="C6" s="33"/>
      <c r="D6" s="20"/>
      <c r="E6" s="33"/>
      <c r="F6" s="20"/>
      <c r="G6" s="28"/>
      <c r="H6" s="34"/>
      <c r="I6" s="29"/>
    </row>
    <row r="7" spans="1:12" ht="15.75">
      <c r="A7" s="18">
        <v>1</v>
      </c>
      <c r="B7" s="35" t="s">
        <v>23</v>
      </c>
      <c r="C7" s="200">
        <v>475.09</v>
      </c>
      <c r="D7" s="36">
        <v>78</v>
      </c>
      <c r="E7" s="5">
        <v>248</v>
      </c>
      <c r="F7" s="5">
        <v>180</v>
      </c>
      <c r="G7" s="18">
        <f>30/1000</f>
        <v>0.03</v>
      </c>
      <c r="H7" s="34">
        <f>(D7+C7/0.8)*E7*F7*G7</f>
        <v>899758.26</v>
      </c>
      <c r="I7" s="29"/>
    </row>
    <row r="8" spans="1:12">
      <c r="A8" s="18"/>
      <c r="B8" s="35"/>
      <c r="C8" s="37"/>
      <c r="D8" s="36"/>
      <c r="E8" s="38"/>
      <c r="F8" s="39"/>
      <c r="G8" s="39"/>
      <c r="H8" s="40"/>
      <c r="I8" s="29"/>
    </row>
    <row r="9" spans="1:12">
      <c r="A9" s="20"/>
      <c r="B9" s="41" t="s">
        <v>24</v>
      </c>
      <c r="C9" s="20">
        <f>SUM(C7:C8)</f>
        <v>475.09</v>
      </c>
      <c r="D9" s="42">
        <f>SUM(D7:D8)</f>
        <v>78</v>
      </c>
      <c r="E9" s="43">
        <f>SUM(E7:E8)</f>
        <v>248</v>
      </c>
      <c r="F9" s="43" t="s">
        <v>7</v>
      </c>
      <c r="G9" s="43" t="s">
        <v>7</v>
      </c>
      <c r="H9" s="44">
        <f>SUM(H7:H8)/1000</f>
        <v>899.75826000000006</v>
      </c>
      <c r="L9" s="45"/>
    </row>
    <row r="10" spans="1:12">
      <c r="F10" s="29"/>
      <c r="G10" s="29"/>
      <c r="H10" s="29"/>
      <c r="I10" s="29"/>
      <c r="L10" s="47"/>
    </row>
    <row r="11" spans="1:12">
      <c r="G11" s="29"/>
      <c r="H11" s="29"/>
      <c r="I11" s="29"/>
      <c r="J11" s="29"/>
    </row>
    <row r="12" spans="1:12">
      <c r="B12" s="179" t="s">
        <v>149</v>
      </c>
      <c r="D12" s="48"/>
      <c r="E12" s="48"/>
      <c r="F12" s="48"/>
      <c r="G12" s="48"/>
      <c r="H12" s="48"/>
      <c r="J12" s="29"/>
    </row>
    <row r="13" spans="1:12">
      <c r="B13" s="24"/>
      <c r="C13" s="21"/>
      <c r="D13" s="21"/>
      <c r="E13" s="21"/>
      <c r="F13" s="21"/>
      <c r="G13" s="21"/>
      <c r="H13" s="21"/>
    </row>
    <row r="14" spans="1:12" ht="37.15" customHeight="1">
      <c r="A14" s="77" t="s">
        <v>34</v>
      </c>
      <c r="B14" s="22" t="s">
        <v>96</v>
      </c>
      <c r="C14" s="22" t="s">
        <v>131</v>
      </c>
      <c r="D14" s="22" t="s">
        <v>132</v>
      </c>
      <c r="E14" s="22" t="s">
        <v>133</v>
      </c>
      <c r="F14" s="22" t="s">
        <v>134</v>
      </c>
      <c r="G14" s="22" t="s">
        <v>135</v>
      </c>
    </row>
    <row r="15" spans="1:12" ht="92.25" customHeight="1">
      <c r="A15" s="80">
        <v>1</v>
      </c>
      <c r="B15" s="6" t="s">
        <v>160</v>
      </c>
      <c r="C15" s="23" t="s">
        <v>94</v>
      </c>
      <c r="D15" s="23">
        <v>500</v>
      </c>
      <c r="E15" s="23">
        <v>20</v>
      </c>
      <c r="F15" s="23">
        <v>12</v>
      </c>
      <c r="G15" s="145">
        <f>E15*D15*F15/1000</f>
        <v>120</v>
      </c>
    </row>
    <row r="16" spans="1:12">
      <c r="A16" s="19"/>
      <c r="B16" s="41" t="s">
        <v>24</v>
      </c>
      <c r="C16" s="174"/>
      <c r="D16" s="174"/>
      <c r="E16" s="174"/>
      <c r="F16" s="174"/>
      <c r="G16" s="190">
        <f>SUM(G15)</f>
        <v>120</v>
      </c>
    </row>
  </sheetData>
  <pageMargins left="0.32" right="0.18" top="0.98425196850393704" bottom="0.74803149606299202" header="0.511811023622047" footer="0.511811023622047"/>
  <pageSetup scale="83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1"/>
  <sheetViews>
    <sheetView topLeftCell="A4" workbookViewId="0">
      <selection activeCell="A12" sqref="A12:G16"/>
    </sheetView>
  </sheetViews>
  <sheetFormatPr defaultColWidth="9.140625" defaultRowHeight="12.75"/>
  <cols>
    <col min="1" max="1" width="2.7109375" style="24" customWidth="1"/>
    <col min="2" max="2" width="28.28515625" style="24" customWidth="1"/>
    <col min="3" max="3" width="10.5703125" style="24" customWidth="1"/>
    <col min="4" max="4" width="16.5703125" style="24" customWidth="1"/>
    <col min="5" max="5" width="13.28515625" style="24" customWidth="1"/>
    <col min="6" max="6" width="13.42578125" style="24" customWidth="1"/>
    <col min="7" max="7" width="11.85546875" style="24" customWidth="1"/>
    <col min="8" max="8" width="12.28515625" style="24" customWidth="1"/>
    <col min="9" max="9" width="9.5703125" style="24" customWidth="1"/>
    <col min="10" max="16384" width="9.140625" style="24"/>
  </cols>
  <sheetData>
    <row r="1" spans="1:9" s="84" customFormat="1" ht="15.75" thickBot="1">
      <c r="B1" s="178" t="s">
        <v>141</v>
      </c>
      <c r="C1" s="156" t="s">
        <v>154</v>
      </c>
      <c r="D1" s="88"/>
      <c r="E1" s="88"/>
      <c r="F1" s="88"/>
      <c r="G1" s="89"/>
      <c r="H1" s="180"/>
    </row>
    <row r="2" spans="1:9" s="2" customFormat="1" ht="31.5" customHeight="1">
      <c r="A2" s="1"/>
      <c r="B2" s="177" t="s">
        <v>150</v>
      </c>
      <c r="C2" s="176"/>
      <c r="D2" s="176"/>
      <c r="E2" s="176"/>
      <c r="F2" s="176"/>
      <c r="G2" s="176"/>
      <c r="H2" s="176"/>
      <c r="I2" s="175"/>
    </row>
    <row r="3" spans="1:9" s="4" customFormat="1" ht="12" customHeight="1">
      <c r="A3" s="3"/>
    </row>
    <row r="4" spans="1:9" s="25" customFormat="1" ht="73.5">
      <c r="B4" s="10" t="s">
        <v>1</v>
      </c>
      <c r="C4" s="11" t="s">
        <v>2</v>
      </c>
      <c r="D4" s="11" t="s">
        <v>16</v>
      </c>
      <c r="E4" s="11" t="s">
        <v>3</v>
      </c>
      <c r="F4" s="11" t="s">
        <v>4</v>
      </c>
      <c r="G4" s="11" t="s">
        <v>19</v>
      </c>
      <c r="H4" s="11" t="s">
        <v>20</v>
      </c>
      <c r="I4" s="27"/>
    </row>
    <row r="5" spans="1:9" s="25" customFormat="1">
      <c r="B5" s="13">
        <v>2</v>
      </c>
      <c r="C5" s="13">
        <v>4</v>
      </c>
      <c r="D5" s="12">
        <v>5</v>
      </c>
      <c r="E5" s="13">
        <v>6</v>
      </c>
      <c r="F5" s="12">
        <v>7</v>
      </c>
      <c r="G5" s="13">
        <v>8</v>
      </c>
      <c r="H5" s="12">
        <v>9</v>
      </c>
      <c r="I5" s="27"/>
    </row>
    <row r="6" spans="1:9" s="25" customFormat="1">
      <c r="B6" s="16"/>
      <c r="C6" s="13"/>
      <c r="D6" s="12"/>
      <c r="E6" s="13"/>
      <c r="F6" s="12"/>
      <c r="G6" s="14"/>
      <c r="H6" s="15"/>
      <c r="I6" s="27"/>
    </row>
    <row r="7" spans="1:9" s="25" customFormat="1" ht="15.75">
      <c r="B7" s="17" t="s">
        <v>77</v>
      </c>
      <c r="C7" s="199">
        <v>395.8</v>
      </c>
      <c r="D7" s="143">
        <v>89</v>
      </c>
      <c r="E7" s="5">
        <v>248</v>
      </c>
      <c r="F7" s="5">
        <v>180</v>
      </c>
      <c r="G7" s="50">
        <f>30/1000</f>
        <v>0.03</v>
      </c>
      <c r="H7" s="146">
        <f>(D7+C7/0.8)*E7*F7*G7/1000</f>
        <v>781.75800000000004</v>
      </c>
    </row>
    <row r="10" spans="1:9">
      <c r="D10" s="141"/>
    </row>
    <row r="11" spans="1:9">
      <c r="B11" s="141" t="s">
        <v>78</v>
      </c>
      <c r="D11" s="141"/>
    </row>
    <row r="12" spans="1:9">
      <c r="B12" s="159" t="s">
        <v>72</v>
      </c>
      <c r="C12" s="158"/>
      <c r="D12" s="149" t="s">
        <v>17</v>
      </c>
      <c r="E12" s="149" t="s">
        <v>69</v>
      </c>
      <c r="F12" s="149" t="s">
        <v>70</v>
      </c>
      <c r="G12" s="149" t="s">
        <v>71</v>
      </c>
      <c r="H12" s="149" t="s">
        <v>66</v>
      </c>
    </row>
    <row r="13" spans="1:9">
      <c r="B13" s="163" t="s">
        <v>67</v>
      </c>
      <c r="C13" s="151"/>
      <c r="D13" s="149">
        <v>9</v>
      </c>
      <c r="E13" s="149">
        <v>40</v>
      </c>
      <c r="F13" s="149">
        <v>15</v>
      </c>
      <c r="G13" s="149">
        <v>25</v>
      </c>
      <c r="H13" s="153">
        <f>SUM(D13:G13)</f>
        <v>89</v>
      </c>
    </row>
    <row r="14" spans="1:9">
      <c r="G14" s="24" t="s">
        <v>137</v>
      </c>
    </row>
    <row r="15" spans="1:9">
      <c r="B15" s="25"/>
      <c r="C15" s="167"/>
      <c r="D15" s="167"/>
      <c r="E15" s="167"/>
      <c r="F15" s="167"/>
      <c r="G15" s="167"/>
      <c r="H15" s="167"/>
      <c r="I15" s="167"/>
    </row>
    <row r="16" spans="1:9">
      <c r="B16" s="25"/>
      <c r="C16" s="25"/>
      <c r="D16" s="25"/>
      <c r="E16" s="25"/>
      <c r="F16" s="25"/>
    </row>
    <row r="17" spans="1:7">
      <c r="B17" s="179" t="s">
        <v>149</v>
      </c>
      <c r="C17" s="51"/>
      <c r="D17" s="51"/>
      <c r="E17" s="51"/>
      <c r="F17" s="51"/>
      <c r="G17" s="46"/>
    </row>
    <row r="18" spans="1:7">
      <c r="B18" s="25"/>
      <c r="C18" s="25"/>
      <c r="D18" s="25"/>
      <c r="E18" s="25"/>
      <c r="F18" s="25"/>
    </row>
    <row r="19" spans="1:7" ht="42.6" customHeight="1">
      <c r="A19" s="77" t="s">
        <v>34</v>
      </c>
      <c r="B19" s="22" t="s">
        <v>130</v>
      </c>
      <c r="C19" s="22" t="s">
        <v>131</v>
      </c>
      <c r="D19" s="22" t="s">
        <v>132</v>
      </c>
      <c r="E19" s="22" t="s">
        <v>133</v>
      </c>
      <c r="F19" s="22" t="s">
        <v>134</v>
      </c>
      <c r="G19" s="22" t="s">
        <v>135</v>
      </c>
    </row>
    <row r="20" spans="1:7" ht="150" customHeight="1">
      <c r="A20" s="80">
        <v>1</v>
      </c>
      <c r="B20" s="6" t="s">
        <v>160</v>
      </c>
      <c r="C20" s="23" t="s">
        <v>94</v>
      </c>
      <c r="D20" s="52">
        <v>859</v>
      </c>
      <c r="E20" s="53">
        <v>20</v>
      </c>
      <c r="F20" s="23">
        <v>12</v>
      </c>
      <c r="G20" s="145">
        <f>F20*E20*D20/1000</f>
        <v>206.16</v>
      </c>
    </row>
    <row r="21" spans="1:7">
      <c r="B21" s="26" t="s">
        <v>75</v>
      </c>
      <c r="C21" s="49"/>
      <c r="D21" s="49"/>
      <c r="E21" s="49"/>
      <c r="F21" s="49"/>
      <c r="G21" s="144">
        <f>SUM(G20:G20)</f>
        <v>206.16</v>
      </c>
    </row>
  </sheetData>
  <pageMargins left="0.23622047244094499" right="0.15748031496063" top="0.66929133858267698" bottom="0.98425196850393704" header="0.511811023622047" footer="0.511811023622047"/>
  <pageSetup paperSize="9" scale="90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13</vt:i4>
      </vt:variant>
    </vt:vector>
  </HeadingPairs>
  <TitlesOfParts>
    <vt:vector size="42" baseType="lpstr">
      <vt:lpstr>ampop</vt:lpstr>
      <vt:lpstr>BDX</vt:lpstr>
      <vt:lpstr>Kargadrich</vt:lpstr>
      <vt:lpstr>vchrabek</vt:lpstr>
      <vt:lpstr>v.qax</vt:lpstr>
      <vt:lpstr>v.qr</vt:lpstr>
      <vt:lpstr>varchakan</vt:lpstr>
      <vt:lpstr>erebuny</vt:lpstr>
      <vt:lpstr>kentron</vt:lpstr>
      <vt:lpstr>ajapnyak</vt:lpstr>
      <vt:lpstr>avan</vt:lpstr>
      <vt:lpstr>arabkir</vt:lpstr>
      <vt:lpstr>shengavit</vt:lpstr>
      <vt:lpstr>malatia</vt:lpstr>
      <vt:lpstr>aragac</vt:lpstr>
      <vt:lpstr>ararat</vt:lpstr>
      <vt:lpstr>armavir</vt:lpstr>
      <vt:lpstr>gexarquniq</vt:lpstr>
      <vt:lpstr>lori</vt:lpstr>
      <vt:lpstr>kotayq</vt:lpstr>
      <vt:lpstr>shirak</vt:lpstr>
      <vt:lpstr>Syuniq</vt:lpstr>
      <vt:lpstr>tavush</vt:lpstr>
      <vt:lpstr>Sheet1</vt:lpstr>
      <vt:lpstr>snankutyan</vt:lpstr>
      <vt:lpstr>Ver.Hakakorupcion</vt:lpstr>
      <vt:lpstr>Yerevan qax</vt:lpstr>
      <vt:lpstr>Yerevan qr</vt:lpstr>
      <vt:lpstr>Sheet2</vt:lpstr>
      <vt:lpstr>ajapnyak!Print_Area</vt:lpstr>
      <vt:lpstr>ampop!Print_Area</vt:lpstr>
      <vt:lpstr>arabkir!Print_Area</vt:lpstr>
      <vt:lpstr>aragac!Print_Area</vt:lpstr>
      <vt:lpstr>ararat!Print_Area</vt:lpstr>
      <vt:lpstr>avan!Print_Area</vt:lpstr>
      <vt:lpstr>BDX!Print_Area</vt:lpstr>
      <vt:lpstr>Kargadrich!Print_Area</vt:lpstr>
      <vt:lpstr>kentron!Print_Area</vt:lpstr>
      <vt:lpstr>v.qr!Print_Area</vt:lpstr>
      <vt:lpstr>vchrabek!Print_Area</vt:lpstr>
      <vt:lpstr>'Yerevan qax'!Print_Area</vt:lpstr>
      <vt:lpstr>'Yerevan qr'!Print_Area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2025-02-10T11:16:28Z</dcterms:modified>
</cp:coreProperties>
</file>